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8" yWindow="65416" windowWidth="11112" windowHeight="7836" activeTab="0"/>
  </bookViews>
  <sheets>
    <sheet name="Balans" sheetId="1" r:id="rId1"/>
    <sheet name="W&amp;V" sheetId="2" r:id="rId2"/>
    <sheet name="Du-pont analyse" sheetId="3" r:id="rId3"/>
    <sheet name="ratio's" sheetId="4" r:id="rId4"/>
  </sheets>
  <definedNames>
    <definedName name="_xlnm.Print_Area" localSheetId="0">'Balans'!$A$1:$G$51</definedName>
    <definedName name="_xlnm.Print_Area" localSheetId="1">'W&amp;V'!$A$1:$G$41</definedName>
  </definedNames>
  <calcPr fullCalcOnLoad="1"/>
</workbook>
</file>

<file path=xl/comments4.xml><?xml version="1.0" encoding="utf-8"?>
<comments xmlns="http://schemas.openxmlformats.org/spreadsheetml/2006/main">
  <authors>
    <author>Paul Denneman</author>
    <author>Mutatis</author>
  </authors>
  <commentList>
    <comment ref="C21" authorId="0">
      <text>
        <r>
          <rPr>
            <b/>
            <sz val="10"/>
            <rFont val="Tahoma"/>
            <family val="0"/>
          </rPr>
          <t>Quick ratio, of acid test ratio, is een kengetal om de financiële toestand en specifiek de liquiditeit van een bedrijf te meten. Het geeft de mate aan waarin de verschaffers van het kort vreemd vermogen uit de vlottende activa kunnen worden betaald. Hier worden alleen de voorraden, in tegenstelling tot de current ratio, niet meegerekend. Deze kunnen vaak niet in zijn geheel verkocht worden, omdat daarmee de continuïteit van de onderneming in gevaar komt. Bovendien zal verlies van waarde bij gedwongen verkoop van de voorraden niet uit te sluiten zijn. De Quick ratio wordt met de volgende formule berekend:
Quick ratio = ({debiteuren + liquide middelen}/{kort vreemd vermogen}) 
                    = ({vlottende activa - voorraden}/{kort vreemd vermogen})
Een gezonde waarde moet minimaal 1 zijn. Wel moet er rekening gehouden worden met de betalingstermijnen. Als die van debiteuren langer is dan crediteuren kan men bij een waarde van 1 toch in gevaar komen.</t>
        </r>
      </text>
    </comment>
    <comment ref="C22" authorId="0">
      <text>
        <r>
          <rPr>
            <b/>
            <sz val="10"/>
            <rFont val="Tahoma"/>
            <family val="0"/>
          </rPr>
          <t>Current ratio is een kengetal om de financiële toestand en specifiek de liquiditeit van een bedrijf te meten. Het geeft de mate aan waarin de verschaffers van het kort vreemd vermogen uit de vlottende activa kunnen worden betaald. Deze wordt met de volgende formule berekend:
Current ratio =({vlottende activa}/{kort vreemd vermogen})
Een gezonde waarde voor dit kengetal ligt boven de 1. Alleen dan kan aan de schuldeisers tegemoet worden gekomen. Echter, in de vlottende activa kan sprake zijn van een incourante voorraad en dubieuze debiteuren. Algemeen geldt daarom een waarde tussen de 1,5 en 2 als gezond, afhankelijk van de onderneming.</t>
        </r>
      </text>
    </comment>
    <comment ref="C12" authorId="0">
      <text>
        <r>
          <rPr>
            <b/>
            <sz val="10"/>
            <rFont val="Tahoma"/>
            <family val="0"/>
          </rPr>
          <t xml:space="preserve">De rentabiliteit van het eigen vermogen (afgekort tot REV) is een kengetal dat het gerealiseerde rendement aangeeft van het geïnvesteerde eigen vermogen vóór of ná belasting.
    * voor belasting
    REV_{vb} = ({netto winst voor belasting}/{eigen vermogen})*100%
    * na belasting
    REV_{nb} =  ({netto winst na belasting}/{eigen vermogen})*100%
 Hefboomwerking
    REV = RTV + (RTV-RVV) * ({Vreemd~vermogen}/{Eigen~vermogen})
    RTV = Rentabiliteit totaal vermogen
    RVV = Rentevoet vreemd vermogen </t>
        </r>
        <r>
          <rPr>
            <sz val="10"/>
            <rFont val="Tahoma"/>
            <family val="0"/>
          </rPr>
          <t xml:space="preserve">
</t>
        </r>
      </text>
    </comment>
    <comment ref="C11" authorId="0">
      <text>
        <r>
          <rPr>
            <b/>
            <sz val="10"/>
            <rFont val="Tahoma"/>
            <family val="0"/>
          </rPr>
          <t xml:space="preserve">De rentabiliteit van het totaal vermogen (afgekort tot RTV) is een kengetal dat de winstgevendheid aangeeft van het totale vermogen vóór aftrek van de interest.
    RTV = ({winst voor interest en belasting}/{totale vermogen})*100% </t>
        </r>
        <r>
          <rPr>
            <sz val="10"/>
            <rFont val="Tahoma"/>
            <family val="0"/>
          </rPr>
          <t xml:space="preserve">
</t>
        </r>
      </text>
    </comment>
    <comment ref="C26" authorId="0">
      <text>
        <r>
          <rPr>
            <b/>
            <sz val="10"/>
            <rFont val="Tahoma"/>
            <family val="0"/>
          </rPr>
          <t>Het solvabiliteitsratio wordt berekend als verhouding tussen de verschillende vermogenscomponenten. Het gaat erom inzicht te krijgen in de mate waarin de onderneming in staat is aan zijn financiële verplichtingen te voldoen.
Een methode is het wegen van de activa naar het vreemd vermogen. Hoe hoger de waarde des te solvabeler de onderneming.
Solvabiliteitsratio = {totale activa}/{vreemd vermogen}</t>
        </r>
        <r>
          <rPr>
            <sz val="10"/>
            <rFont val="Tahoma"/>
            <family val="0"/>
          </rPr>
          <t xml:space="preserve">
</t>
        </r>
      </text>
    </comment>
    <comment ref="C25" authorId="0">
      <text>
        <r>
          <rPr>
            <b/>
            <sz val="10"/>
            <rFont val="Tahoma"/>
            <family val="2"/>
          </rPr>
          <t>Het solvabiliteitsratio wordt berekend als verhouding tussen de verschillende vermogenscomponenten. Het gaat erom inzicht te krijgen in de mate waarin de onderneming in staat is aan zijn financiële verplichtingen te voldoen.
Een methode is het bekijken in hoeverre de in de activa geïnvesteerde vermogen door het eigen vermogen kan worden gefinancierd. In feite wordt er gekeken naar als in geval van liquidatie de verschaffers van het vreemde vermogen kunnen worden betaald.
Solvabiliteitsratio = {eigen vermogen}/{totaalvermogen}
Afhankelijk van de directe opbrengstwaarde van de activa ligt de minimumnorm van de waarde tussen de 0,25 en 0,50. Vanwege de eventuele waardevermindering van de activa bij liquidatie wordt er geen norm van 1 gehanteerd.</t>
        </r>
        <r>
          <rPr>
            <sz val="10"/>
            <rFont val="Tahoma"/>
            <family val="0"/>
          </rPr>
          <t xml:space="preserve">
</t>
        </r>
      </text>
    </comment>
    <comment ref="C24" authorId="0">
      <text>
        <r>
          <rPr>
            <b/>
            <sz val="10"/>
            <rFont val="Tahoma"/>
            <family val="0"/>
          </rPr>
          <t>De debt ratio geeft aan in welke mate de totale activa is gefinancieerd met vreemd vermogen. Met name in de Amerikaanse literatuur wordt deze methode veel toegepast om de solvabiliteit te meten.
Debt ratio = {vreemd vermogen}/{totaal vermogen}</t>
        </r>
        <r>
          <rPr>
            <sz val="10"/>
            <rFont val="Tahoma"/>
            <family val="0"/>
          </rPr>
          <t xml:space="preserve">
</t>
        </r>
      </text>
    </comment>
    <comment ref="C16" authorId="0">
      <text>
        <r>
          <rPr>
            <b/>
            <sz val="10"/>
            <rFont val="Tahoma"/>
            <family val="0"/>
          </rPr>
          <t>De omloopsnelheid van crediteuren geeft aan hoe snel een crediteur wordt betaald. Hoe hoger de uitkomst van deze ratio des te sneller de crediteur wordt betaald en hoe krapper de liquiditeit (liquide middelen) van de onderneming.
De reciproke geeft de omlooptijd van crediteuren weer. Dit is de gemiddelde kredietduur van een vordering en wordt meestal uitgedrukt in dagen. Hoe hoger de uitkomst van deze breuk, des te gunstiger is dit voor de liquiditeit en hoe langer men over leverancierskrediet kan beschikken.
Omlooptijd van crediteuren = ({crediteuren}/{kostprijs van de omzet}) * 365</t>
        </r>
        <r>
          <rPr>
            <sz val="10"/>
            <rFont val="Tahoma"/>
            <family val="0"/>
          </rPr>
          <t xml:space="preserve">
</t>
        </r>
      </text>
    </comment>
    <comment ref="C15" authorId="0">
      <text>
        <r>
          <rPr>
            <b/>
            <sz val="10"/>
            <rFont val="Tahoma"/>
            <family val="2"/>
          </rPr>
          <t>De omloopsnelheid van de voorraden geeft aan hoe lang de voorraden in het magazijn liggen opgeslagen. Hoe hoger de uitkomst van deze ratio des te korter liggen de voorraden opgeslagen en komt het in de voorraden geïnvesteerde vermogen beschikbaar en hoe ruimer liquiditeit (liquide middelen) van de onderneming.
De reciproke geeft de omlooptijd van de voorraden weer. Dit is de gemiddelde tijdsduur hoe lang voorraden in het magazijn zijn opgeslagen. Hoe lager de uitkomst van deze breuk, des te gunstiger is dit voor de liquiditeit.
Omlooptijd van de voorraden = ({voorraden}/{kostprijs van de omzet}) * 365</t>
        </r>
        <r>
          <rPr>
            <sz val="10"/>
            <rFont val="Tahoma"/>
            <family val="0"/>
          </rPr>
          <t xml:space="preserve">
</t>
        </r>
      </text>
    </comment>
    <comment ref="C14" authorId="0">
      <text>
        <r>
          <rPr>
            <b/>
            <sz val="10"/>
            <rFont val="Tahoma"/>
            <family val="0"/>
          </rPr>
          <t>De omloopsnelheid van debiteuren geeft aan hoe snel een debiteur tot betaling overgaat. Hoe hoger de uitkomst van deze ratio des te sneller de debiteur betaald en hoe ruimer liquiditeit (liquide middelen) van de onderneming.
De reciproke geeft de omlooptijd van debiteuren weer. Dit is de gemiddelde incassoduur van een vordering en wordt meestal uitgedrukt in dagen. Hoe kleiner de uitkomst van deze breuk, des te gunstiger is dit voor de liquiditeit.
Omlooptijd van debiteuren = ({debiteuren}/{omzet}) * 365</t>
        </r>
        <r>
          <rPr>
            <sz val="10"/>
            <rFont val="Tahoma"/>
            <family val="0"/>
          </rPr>
          <t xml:space="preserve">
</t>
        </r>
      </text>
    </comment>
    <comment ref="C7" authorId="1">
      <text>
        <r>
          <rPr>
            <b/>
            <sz val="9"/>
            <rFont val="Tahoma"/>
            <family val="2"/>
          </rPr>
          <t xml:space="preserve">Bruto marge is (omzet - kostprijs omzet )
gedeeld door omzet
</t>
        </r>
        <r>
          <rPr>
            <sz val="9"/>
            <rFont val="Tahoma"/>
            <family val="2"/>
          </rPr>
          <t xml:space="preserve">
</t>
        </r>
      </text>
    </comment>
    <comment ref="C8" authorId="1">
      <text>
        <r>
          <rPr>
            <b/>
            <sz val="9"/>
            <rFont val="Tahoma"/>
            <family val="2"/>
          </rPr>
          <t>Bruto marge is bedrijfsreultaat gedeeld door omzet</t>
        </r>
      </text>
    </comment>
    <comment ref="C9" authorId="1">
      <text>
        <r>
          <rPr>
            <b/>
            <sz val="9"/>
            <rFont val="Tahoma"/>
            <family val="2"/>
          </rPr>
          <t xml:space="preserve">Netto marge is resultaat na belasting gedeeld door omzet
</t>
        </r>
        <r>
          <rPr>
            <sz val="9"/>
            <rFont val="Tahoma"/>
            <family val="2"/>
          </rPr>
          <t xml:space="preserve">
</t>
        </r>
      </text>
    </comment>
    <comment ref="C18" authorId="1">
      <text>
        <r>
          <rPr>
            <b/>
            <sz val="9"/>
            <rFont val="Tahoma"/>
            <family val="2"/>
          </rPr>
          <t>Omloopsnelheid TV is netto omzet gedeeld door totale vermogen</t>
        </r>
        <r>
          <rPr>
            <sz val="9"/>
            <rFont val="Tahoma"/>
            <family val="2"/>
          </rPr>
          <t xml:space="preserve">
</t>
        </r>
      </text>
    </comment>
    <comment ref="C19" authorId="1">
      <text>
        <r>
          <rPr>
            <b/>
            <sz val="9"/>
            <rFont val="Tahoma"/>
            <family val="2"/>
          </rPr>
          <t>Omloopsnelheid EV is netto omzet gedeeld door totale eigen vermogen</t>
        </r>
      </text>
    </comment>
  </commentList>
</comments>
</file>

<file path=xl/sharedStrings.xml><?xml version="1.0" encoding="utf-8"?>
<sst xmlns="http://schemas.openxmlformats.org/spreadsheetml/2006/main" count="154" uniqueCount="128">
  <si>
    <t>Balans</t>
  </si>
  <si>
    <t>Activa</t>
  </si>
  <si>
    <t>Voorraden</t>
  </si>
  <si>
    <t>Totaal Vlottende activia</t>
  </si>
  <si>
    <t>Vlottende activa</t>
  </si>
  <si>
    <t>Vaste activa</t>
  </si>
  <si>
    <t>Minus afschrijvingen</t>
  </si>
  <si>
    <t>Totaal activa</t>
  </si>
  <si>
    <t>Immateriële vaste activa</t>
  </si>
  <si>
    <t>Materiële vaste activa</t>
  </si>
  <si>
    <t>Financiële vaste activa</t>
  </si>
  <si>
    <t xml:space="preserve">Niet toe te wijzen vaste activa </t>
  </si>
  <si>
    <t>Liquide middelen</t>
  </si>
  <si>
    <t>Handelsdebitieuren</t>
  </si>
  <si>
    <t xml:space="preserve">Niet toe te wijzen vlottende activa </t>
  </si>
  <si>
    <t>Winst- en verliesrekening</t>
  </si>
  <si>
    <t>Totaal Vaste activa</t>
  </si>
  <si>
    <t>Crediteuren</t>
  </si>
  <si>
    <t>Langlopende schulden</t>
  </si>
  <si>
    <t>Achtergestelde lening</t>
  </si>
  <si>
    <t>Voorzieningen</t>
  </si>
  <si>
    <t>Totale overige passiva</t>
  </si>
  <si>
    <t>Passiva</t>
  </si>
  <si>
    <t>Eigen vermogen</t>
  </si>
  <si>
    <t>Agio</t>
  </si>
  <si>
    <t>Herwaarderingsreserve</t>
  </si>
  <si>
    <t>Wettelijke en statutaire reserves</t>
  </si>
  <si>
    <t>Overige reserves</t>
  </si>
  <si>
    <t>Onverdeelde winst</t>
  </si>
  <si>
    <t>Totaal eigen vermogen</t>
  </si>
  <si>
    <t>Afschrijvingen</t>
  </si>
  <si>
    <t>Vorderingen en overlopende activa</t>
  </si>
  <si>
    <t>Kortlopende schulden en overlopende passiva</t>
  </si>
  <si>
    <t>Netto omzet</t>
  </si>
  <si>
    <t>Kostprijs van de omzet</t>
  </si>
  <si>
    <t>Brutomarge</t>
  </si>
  <si>
    <t>Nettomarge</t>
  </si>
  <si>
    <t>Salarissen en sociale lasten</t>
  </si>
  <si>
    <t>Overige bedrjfslasten</t>
  </si>
  <si>
    <t>Verkoop-en beheerskosten</t>
  </si>
  <si>
    <t>Bedrijfsresultaat</t>
  </si>
  <si>
    <t>Financiële baten</t>
  </si>
  <si>
    <t>Belasting uit bedrijfsuitoefening</t>
  </si>
  <si>
    <t>Buitengewone baten</t>
  </si>
  <si>
    <t>Aandeel derden in het resultaat</t>
  </si>
  <si>
    <t>Overige bedrijfsopbrengsten</t>
  </si>
  <si>
    <t>Financiële lasten</t>
  </si>
  <si>
    <t>Overige baten</t>
  </si>
  <si>
    <t>Overige lasten</t>
  </si>
  <si>
    <t>Resultaat uit gewone bedrijfsuitoefening voor belastingen</t>
  </si>
  <si>
    <t>Aandeel in W/V deelnemingen</t>
  </si>
  <si>
    <t>Resultaat uit gewone bedrijfsuitoefening na belastingen</t>
  </si>
  <si>
    <t>Buitengewone lasten</t>
  </si>
  <si>
    <t>Saldo buitengewone baten/lasten</t>
  </si>
  <si>
    <t>Buitengewoon resultaat na belasting</t>
  </si>
  <si>
    <t>Resultaat uit deelnemingen na belasting</t>
  </si>
  <si>
    <t>Saldo overige baten/lasten na belasting</t>
  </si>
  <si>
    <t>Netto resultaat</t>
  </si>
  <si>
    <t>Overige belastingen</t>
  </si>
  <si>
    <t>Belasting buitengewoon resultaat</t>
  </si>
  <si>
    <t>Saldo financiële baten/lasten</t>
  </si>
  <si>
    <t>Totaal Passiva</t>
  </si>
  <si>
    <t>verschil passiva / acitva</t>
  </si>
  <si>
    <t>. / .</t>
  </si>
  <si>
    <t>+</t>
  </si>
  <si>
    <t>bruto</t>
  </si>
  <si>
    <t>winstmarge</t>
  </si>
  <si>
    <t>x</t>
  </si>
  <si>
    <t>winst</t>
  </si>
  <si>
    <t>omzet</t>
  </si>
  <si>
    <t>personeels</t>
  </si>
  <si>
    <t>kosten</t>
  </si>
  <si>
    <t>v/d omzet</t>
  </si>
  <si>
    <t>Kostprijs</t>
  </si>
  <si>
    <t>verkoop/beheer</t>
  </si>
  <si>
    <t>overige</t>
  </si>
  <si>
    <t>lasten</t>
  </si>
  <si>
    <t>overige bedrijfs</t>
  </si>
  <si>
    <t>-</t>
  </si>
  <si>
    <t>resultaat</t>
  </si>
  <si>
    <t>bedrijfs</t>
  </si>
  <si>
    <t>en lasten</t>
  </si>
  <si>
    <t>Return on</t>
  </si>
  <si>
    <t>Investment</t>
  </si>
  <si>
    <t>Totaal verm.</t>
  </si>
  <si>
    <t>omloopsnelh.</t>
  </si>
  <si>
    <t>Totaal</t>
  </si>
  <si>
    <t>vermogen</t>
  </si>
  <si>
    <t>activa</t>
  </si>
  <si>
    <t>vaste</t>
  </si>
  <si>
    <t>vlottende</t>
  </si>
  <si>
    <t>voorraden</t>
  </si>
  <si>
    <t>debiteuren</t>
  </si>
  <si>
    <t>liquiditeiten</t>
  </si>
  <si>
    <t>vl. Activa</t>
  </si>
  <si>
    <t>Winstmarges</t>
  </si>
  <si>
    <t>huidig</t>
  </si>
  <si>
    <t>alternatief</t>
  </si>
  <si>
    <t>Div. Baten</t>
  </si>
  <si>
    <t>Bruto winstmarge</t>
  </si>
  <si>
    <t>Bruto marge</t>
  </si>
  <si>
    <t>Netto winstmarge</t>
  </si>
  <si>
    <t>Rentabiliteit</t>
  </si>
  <si>
    <t>Totale vermogen</t>
  </si>
  <si>
    <t>Voorraad [in dagen]]</t>
  </si>
  <si>
    <t>Crediteuren [in dagen]</t>
  </si>
  <si>
    <t>Debiteuren [in dagen]</t>
  </si>
  <si>
    <t>Current ratio</t>
  </si>
  <si>
    <t>EV/TV</t>
  </si>
  <si>
    <t>Solvabiliteit</t>
  </si>
  <si>
    <t>verbetering</t>
  </si>
  <si>
    <t>Quick ratio</t>
  </si>
  <si>
    <t>Totale activa / VV</t>
  </si>
  <si>
    <t>Debt ratio</t>
  </si>
  <si>
    <t>Omlooptijd</t>
  </si>
  <si>
    <t>Omloopsnelheid</t>
  </si>
  <si>
    <t>Liquidititeit</t>
  </si>
  <si>
    <t>huidige</t>
  </si>
  <si>
    <t>Financiele kentallen vergelijking</t>
  </si>
  <si>
    <t>[in %]</t>
  </si>
  <si>
    <t>situatie</t>
  </si>
  <si>
    <t>alternatieve</t>
  </si>
  <si>
    <t>DU-PONT ANALYSE RESULTAAT</t>
  </si>
  <si>
    <t>BALANS</t>
  </si>
  <si>
    <t>WINST- EN VERLIESREKENING</t>
  </si>
  <si>
    <t>ANALYSE FINANCIELE KENTALLEN</t>
  </si>
  <si>
    <t>© www.mutatis-mutandis.nl</t>
  </si>
  <si>
    <t>Saldo winst (van W&amp;V rekening)</t>
  </si>
</sst>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0_);\(0.0\)"/>
    <numFmt numFmtId="183" formatCode="0_);\(0\)"/>
    <numFmt numFmtId="184" formatCode="&quot;$&quot;#,##0.00"/>
    <numFmt numFmtId="185" formatCode="&quot;$&quot;#,##0.000"/>
    <numFmt numFmtId="186" formatCode="&quot;$&quot;#,##0.0"/>
    <numFmt numFmtId="187" formatCode="&quot;$&quot;#,##0"/>
    <numFmt numFmtId="188" formatCode="0.0%"/>
    <numFmt numFmtId="189" formatCode="0.000"/>
    <numFmt numFmtId="190" formatCode="0.0000"/>
    <numFmt numFmtId="191" formatCode="&quot;$&quot;#,##0.0_);\(&quot;$&quot;#,##0.0\)"/>
    <numFmt numFmtId="192" formatCode="&quot;$&quot;#,##0.000_);\(&quot;$&quot;#,##0.000\)"/>
    <numFmt numFmtId="193" formatCode="0.00000"/>
    <numFmt numFmtId="194" formatCode="0.0000%"/>
    <numFmt numFmtId="195" formatCode="_(&quot;$&quot;* #,##0.0_);_(&quot;$&quot;* \(#,##0.0\);_(&quot;$&quot;* &quot;-&quot;??_);_(@_)"/>
    <numFmt numFmtId="196" formatCode="&quot;$&quot;#,##0.0_);[Red]\(&quot;$&quot;#,##0.0\)"/>
    <numFmt numFmtId="197" formatCode="&quot;$&quot;#,##0.000_);[Red]\(&quot;$&quot;#,##0.000\)"/>
    <numFmt numFmtId="198" formatCode="#,##0.000"/>
    <numFmt numFmtId="199" formatCode="#,##0.0_);[Red]\(#,##0.0\)"/>
    <numFmt numFmtId="200" formatCode="_(* #,##0.0_);_(* \(#,##0.0\);_(* &quot;-&quot;??_);_(@_)"/>
    <numFmt numFmtId="201" formatCode="_(* #,##0_);_(* \(#,##0\);_(* &quot;-&quot;??_);_(@_)"/>
    <numFmt numFmtId="202" formatCode="&quot;Ja&quot;;&quot;Ja&quot;;&quot;Nee&quot;"/>
    <numFmt numFmtId="203" formatCode="&quot;Waar&quot;;&quot;Waar&quot;;&quot;Niet waar&quot;"/>
    <numFmt numFmtId="204" formatCode="&quot;Aan&quot;;&quot;Aan&quot;;&quot;Uit&quot;"/>
    <numFmt numFmtId="205" formatCode="[$€-2]\ #.##000_);[Red]\([$€-2]\ #.##000\)"/>
    <numFmt numFmtId="206" formatCode="&quot;€&quot;\ #,##0.000_-;[Red]&quot;€&quot;\ #,##0.000\-"/>
    <numFmt numFmtId="207" formatCode="&quot;€&quot;\ #,##0.0000_-;[Red]&quot;€&quot;\ #,##0.0000\-"/>
    <numFmt numFmtId="208" formatCode="0.00000000"/>
    <numFmt numFmtId="209" formatCode="0.0000000"/>
    <numFmt numFmtId="210" formatCode="0.000000"/>
    <numFmt numFmtId="211" formatCode="0.00_ ;[Red]\-0.00\ "/>
    <numFmt numFmtId="212" formatCode="[$-413]dddd\ d\ mmmm\ yyyy"/>
  </numFmts>
  <fonts count="53">
    <font>
      <sz val="10"/>
      <name val="Arial"/>
      <family val="0"/>
    </font>
    <font>
      <sz val="10"/>
      <name val="Tahoma"/>
      <family val="0"/>
    </font>
    <font>
      <sz val="8"/>
      <name val="Arial"/>
      <family val="0"/>
    </font>
    <font>
      <b/>
      <sz val="10"/>
      <name val="Tahoma"/>
      <family val="0"/>
    </font>
    <font>
      <sz val="18"/>
      <name val="Verdana"/>
      <family val="2"/>
    </font>
    <font>
      <sz val="10"/>
      <name val="Verdana"/>
      <family val="2"/>
    </font>
    <font>
      <b/>
      <sz val="10"/>
      <color indexed="16"/>
      <name val="Verdana"/>
      <family val="2"/>
    </font>
    <font>
      <b/>
      <sz val="10"/>
      <name val="Verdana"/>
      <family val="2"/>
    </font>
    <font>
      <b/>
      <i/>
      <sz val="10"/>
      <name val="Verdana"/>
      <family val="2"/>
    </font>
    <font>
      <b/>
      <sz val="10"/>
      <color indexed="18"/>
      <name val="Verdana"/>
      <family val="2"/>
    </font>
    <font>
      <b/>
      <sz val="10"/>
      <color indexed="17"/>
      <name val="Verdana"/>
      <family val="2"/>
    </font>
    <font>
      <sz val="10"/>
      <color indexed="18"/>
      <name val="Verdana"/>
      <family val="2"/>
    </font>
    <font>
      <sz val="10"/>
      <color indexed="17"/>
      <name val="Verdana"/>
      <family val="2"/>
    </font>
    <font>
      <sz val="8"/>
      <name val="Verdana"/>
      <family val="2"/>
    </font>
    <font>
      <sz val="8"/>
      <color indexed="18"/>
      <name val="Verdana"/>
      <family val="2"/>
    </font>
    <font>
      <sz val="8"/>
      <color indexed="17"/>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Tahoma"/>
      <family val="2"/>
    </font>
    <font>
      <b/>
      <sz val="9"/>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double"/>
    </border>
    <border>
      <left>
        <color indexed="63"/>
      </left>
      <right style="medium"/>
      <top style="thin"/>
      <bottom style="double"/>
    </border>
    <border>
      <left style="medium"/>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style="medium"/>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31" borderId="7" applyNumberFormat="0" applyFont="0" applyAlignment="0" applyProtection="0"/>
    <xf numFmtId="0" fontId="46" fillId="32"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6"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113">
    <xf numFmtId="0" fontId="0" fillId="0" borderId="0" xfId="0" applyAlignment="1">
      <alignment/>
    </xf>
    <xf numFmtId="0" fontId="4" fillId="0" borderId="0" xfId="0" applyFont="1" applyAlignment="1">
      <alignment/>
    </xf>
    <xf numFmtId="0" fontId="5" fillId="0" borderId="0" xfId="0" applyFont="1" applyAlignment="1">
      <alignment/>
    </xf>
    <xf numFmtId="0" fontId="6" fillId="33" borderId="10" xfId="0" applyFont="1" applyFill="1" applyBorder="1" applyAlignment="1">
      <alignment/>
    </xf>
    <xf numFmtId="0" fontId="7" fillId="33" borderId="11" xfId="0" applyFont="1" applyFill="1" applyBorder="1" applyAlignment="1">
      <alignment/>
    </xf>
    <xf numFmtId="180" fontId="7" fillId="33" borderId="11" xfId="0" applyNumberFormat="1" applyFont="1" applyFill="1" applyBorder="1" applyAlignment="1">
      <alignment/>
    </xf>
    <xf numFmtId="0" fontId="7" fillId="33" borderId="12" xfId="0" applyFont="1" applyFill="1" applyBorder="1" applyAlignment="1">
      <alignment/>
    </xf>
    <xf numFmtId="0" fontId="6" fillId="33" borderId="13" xfId="0" applyFont="1" applyFill="1" applyBorder="1" applyAlignment="1">
      <alignment/>
    </xf>
    <xf numFmtId="0" fontId="7" fillId="33" borderId="0" xfId="0" applyFont="1" applyFill="1" applyBorder="1" applyAlignment="1">
      <alignment/>
    </xf>
    <xf numFmtId="180" fontId="7" fillId="33" borderId="0" xfId="0" applyNumberFormat="1" applyFont="1" applyFill="1" applyBorder="1" applyAlignment="1">
      <alignment/>
    </xf>
    <xf numFmtId="0" fontId="7" fillId="33" borderId="14" xfId="0" applyFont="1" applyFill="1" applyBorder="1" applyAlignment="1">
      <alignment/>
    </xf>
    <xf numFmtId="0" fontId="7" fillId="33" borderId="13" xfId="0" applyFont="1" applyFill="1" applyBorder="1" applyAlignment="1">
      <alignment/>
    </xf>
    <xf numFmtId="0" fontId="8" fillId="33" borderId="13" xfId="0" applyFont="1" applyFill="1" applyBorder="1" applyAlignment="1">
      <alignment/>
    </xf>
    <xf numFmtId="0" fontId="7" fillId="33" borderId="0" xfId="0" applyNumberFormat="1" applyFont="1" applyFill="1" applyBorder="1" applyAlignment="1">
      <alignment/>
    </xf>
    <xf numFmtId="0" fontId="9" fillId="33" borderId="15" xfId="0" applyNumberFormat="1" applyFont="1" applyFill="1" applyBorder="1" applyAlignment="1">
      <alignment horizontal="right"/>
    </xf>
    <xf numFmtId="0" fontId="10" fillId="33" borderId="16" xfId="0" applyFont="1" applyFill="1" applyBorder="1" applyAlignment="1">
      <alignment horizontal="right"/>
    </xf>
    <xf numFmtId="165" fontId="9" fillId="33" borderId="0" xfId="0" applyNumberFormat="1" applyFont="1" applyFill="1" applyBorder="1" applyAlignment="1">
      <alignment/>
    </xf>
    <xf numFmtId="165" fontId="10" fillId="33" borderId="14" xfId="0" applyNumberFormat="1" applyFont="1" applyFill="1" applyBorder="1" applyAlignment="1">
      <alignment/>
    </xf>
    <xf numFmtId="0" fontId="5" fillId="33" borderId="13" xfId="0" applyFont="1" applyFill="1" applyBorder="1" applyAlignment="1">
      <alignment/>
    </xf>
    <xf numFmtId="0" fontId="5" fillId="33" borderId="0" xfId="0" applyNumberFormat="1" applyFont="1" applyFill="1" applyBorder="1" applyAlignment="1">
      <alignment/>
    </xf>
    <xf numFmtId="0" fontId="5" fillId="33" borderId="0" xfId="0" applyFont="1" applyFill="1" applyBorder="1" applyAlignment="1">
      <alignment/>
    </xf>
    <xf numFmtId="165" fontId="11" fillId="33" borderId="0" xfId="0" applyNumberFormat="1" applyFont="1" applyFill="1" applyBorder="1" applyAlignment="1">
      <alignment/>
    </xf>
    <xf numFmtId="165" fontId="12" fillId="33" borderId="14" xfId="57" applyNumberFormat="1" applyFont="1" applyFill="1" applyBorder="1" applyAlignment="1">
      <alignment/>
    </xf>
    <xf numFmtId="10" fontId="5" fillId="0" borderId="0" xfId="53" applyNumberFormat="1" applyFont="1" applyAlignment="1">
      <alignment/>
    </xf>
    <xf numFmtId="165" fontId="9" fillId="33" borderId="17" xfId="0" applyNumberFormat="1" applyFont="1" applyFill="1" applyBorder="1" applyAlignment="1">
      <alignment/>
    </xf>
    <xf numFmtId="165" fontId="10" fillId="33" borderId="18" xfId="57" applyNumberFormat="1" applyFont="1" applyFill="1" applyBorder="1" applyAlignment="1">
      <alignment/>
    </xf>
    <xf numFmtId="0" fontId="7" fillId="33" borderId="13" xfId="0" applyNumberFormat="1" applyFont="1" applyFill="1" applyBorder="1" applyAlignment="1">
      <alignment/>
    </xf>
    <xf numFmtId="165" fontId="10" fillId="33" borderId="14" xfId="57" applyNumberFormat="1" applyFont="1" applyFill="1" applyBorder="1" applyAlignment="1">
      <alignment/>
    </xf>
    <xf numFmtId="165" fontId="9" fillId="33" borderId="19" xfId="0" applyNumberFormat="1" applyFont="1" applyFill="1" applyBorder="1" applyAlignment="1">
      <alignment/>
    </xf>
    <xf numFmtId="165" fontId="10" fillId="33" borderId="20" xfId="57" applyNumberFormat="1" applyFont="1" applyFill="1" applyBorder="1" applyAlignment="1">
      <alignment/>
    </xf>
    <xf numFmtId="165" fontId="12" fillId="33" borderId="14" xfId="0" applyNumberFormat="1" applyFont="1" applyFill="1" applyBorder="1" applyAlignment="1">
      <alignment/>
    </xf>
    <xf numFmtId="0" fontId="5" fillId="33" borderId="21" xfId="0" applyFont="1" applyFill="1" applyBorder="1" applyAlignment="1">
      <alignment/>
    </xf>
    <xf numFmtId="0" fontId="5" fillId="33" borderId="15" xfId="0" applyNumberFormat="1" applyFont="1" applyFill="1" applyBorder="1" applyAlignment="1">
      <alignment/>
    </xf>
    <xf numFmtId="0" fontId="5" fillId="33" borderId="15" xfId="0" applyFont="1" applyFill="1" applyBorder="1" applyAlignment="1">
      <alignment/>
    </xf>
    <xf numFmtId="165" fontId="11" fillId="33" borderId="15" xfId="0" applyNumberFormat="1" applyFont="1" applyFill="1" applyBorder="1" applyAlignment="1">
      <alignment/>
    </xf>
    <xf numFmtId="165" fontId="12" fillId="33" borderId="16" xfId="0" applyNumberFormat="1" applyFont="1" applyFill="1" applyBorder="1" applyAlignment="1">
      <alignment/>
    </xf>
    <xf numFmtId="0" fontId="7" fillId="0" borderId="0" xfId="0" applyNumberFormat="1" applyFont="1" applyFill="1" applyAlignment="1">
      <alignment/>
    </xf>
    <xf numFmtId="0" fontId="7" fillId="0" borderId="0" xfId="0" applyFont="1" applyFill="1" applyAlignment="1">
      <alignment/>
    </xf>
    <xf numFmtId="0" fontId="5" fillId="0" borderId="0" xfId="0" applyFont="1" applyAlignment="1">
      <alignment/>
    </xf>
    <xf numFmtId="0" fontId="9" fillId="0" borderId="0" xfId="0" applyFont="1" applyFill="1" applyAlignment="1">
      <alignment/>
    </xf>
    <xf numFmtId="0" fontId="7" fillId="33" borderId="11" xfId="0" applyNumberFormat="1" applyFont="1" applyFill="1" applyBorder="1" applyAlignment="1">
      <alignment/>
    </xf>
    <xf numFmtId="187" fontId="7" fillId="33" borderId="11" xfId="0" applyNumberFormat="1" applyFont="1" applyFill="1" applyBorder="1" applyAlignment="1">
      <alignment/>
    </xf>
    <xf numFmtId="187" fontId="7" fillId="33" borderId="12" xfId="0" applyNumberFormat="1" applyFont="1" applyFill="1" applyBorder="1" applyAlignment="1">
      <alignment/>
    </xf>
    <xf numFmtId="187" fontId="7" fillId="33" borderId="0" xfId="0" applyNumberFormat="1" applyFont="1" applyFill="1" applyBorder="1" applyAlignment="1">
      <alignment/>
    </xf>
    <xf numFmtId="187" fontId="7" fillId="33" borderId="14" xfId="0" applyNumberFormat="1" applyFont="1" applyFill="1" applyBorder="1" applyAlignment="1">
      <alignment/>
    </xf>
    <xf numFmtId="0" fontId="10" fillId="33" borderId="16" xfId="0" applyNumberFormat="1" applyFont="1" applyFill="1" applyBorder="1" applyAlignment="1">
      <alignment horizontal="right"/>
    </xf>
    <xf numFmtId="165" fontId="11" fillId="33" borderId="22" xfId="0" applyNumberFormat="1" applyFont="1" applyFill="1" applyBorder="1" applyAlignment="1">
      <alignment/>
    </xf>
    <xf numFmtId="165" fontId="12" fillId="33" borderId="23" xfId="0" applyNumberFormat="1" applyFont="1" applyFill="1" applyBorder="1" applyAlignment="1">
      <alignment/>
    </xf>
    <xf numFmtId="165" fontId="9" fillId="33" borderId="24" xfId="0" applyNumberFormat="1" applyFont="1" applyFill="1" applyBorder="1" applyAlignment="1">
      <alignment/>
    </xf>
    <xf numFmtId="165" fontId="10" fillId="33" borderId="25" xfId="0" applyNumberFormat="1" applyFont="1" applyFill="1" applyBorder="1" applyAlignment="1">
      <alignment/>
    </xf>
    <xf numFmtId="0" fontId="5" fillId="0" borderId="0" xfId="0" applyFont="1" applyFill="1" applyAlignment="1">
      <alignment/>
    </xf>
    <xf numFmtId="165" fontId="10" fillId="33" borderId="20" xfId="0" applyNumberFormat="1" applyFont="1" applyFill="1" applyBorder="1" applyAlignment="1">
      <alignment/>
    </xf>
    <xf numFmtId="0" fontId="7" fillId="33" borderId="21" xfId="0" applyFont="1" applyFill="1" applyBorder="1" applyAlignment="1">
      <alignment/>
    </xf>
    <xf numFmtId="0" fontId="7" fillId="33" borderId="15" xfId="0" applyFont="1" applyFill="1" applyBorder="1" applyAlignment="1">
      <alignment/>
    </xf>
    <xf numFmtId="165" fontId="9" fillId="33" borderId="26" xfId="0" applyNumberFormat="1" applyFont="1" applyFill="1" applyBorder="1" applyAlignment="1">
      <alignment/>
    </xf>
    <xf numFmtId="165" fontId="10" fillId="33" borderId="27" xfId="0" applyNumberFormat="1" applyFont="1" applyFill="1" applyBorder="1" applyAlignment="1">
      <alignment/>
    </xf>
    <xf numFmtId="187" fontId="7" fillId="0" borderId="0" xfId="0" applyNumberFormat="1" applyFont="1" applyFill="1" applyBorder="1" applyAlignment="1">
      <alignment/>
    </xf>
    <xf numFmtId="0" fontId="13" fillId="0" borderId="0" xfId="0" applyFont="1" applyAlignment="1">
      <alignment/>
    </xf>
    <xf numFmtId="0" fontId="13" fillId="34" borderId="28" xfId="0" applyFont="1" applyFill="1" applyBorder="1" applyAlignment="1">
      <alignment horizontal="center"/>
    </xf>
    <xf numFmtId="0" fontId="13" fillId="34" borderId="29" xfId="0" applyFont="1" applyFill="1" applyBorder="1" applyAlignment="1">
      <alignment horizontal="center"/>
    </xf>
    <xf numFmtId="165" fontId="14" fillId="0" borderId="29" xfId="0" applyNumberFormat="1" applyFont="1" applyBorder="1" applyAlignment="1">
      <alignment/>
    </xf>
    <xf numFmtId="0" fontId="13" fillId="34" borderId="29" xfId="0" applyFont="1" applyFill="1" applyBorder="1" applyAlignment="1">
      <alignment/>
    </xf>
    <xf numFmtId="165" fontId="15" fillId="0" borderId="30" xfId="0" applyNumberFormat="1" applyFont="1" applyBorder="1" applyAlignment="1">
      <alignment/>
    </xf>
    <xf numFmtId="10" fontId="14" fillId="0" borderId="29" xfId="53" applyNumberFormat="1" applyFont="1" applyBorder="1" applyAlignment="1">
      <alignment/>
    </xf>
    <xf numFmtId="10" fontId="15" fillId="0" borderId="30" xfId="53" applyNumberFormat="1" applyFont="1" applyBorder="1" applyAlignment="1">
      <alignment/>
    </xf>
    <xf numFmtId="165" fontId="13" fillId="0" borderId="0" xfId="0" applyNumberFormat="1" applyFont="1" applyAlignment="1">
      <alignment/>
    </xf>
    <xf numFmtId="0" fontId="13" fillId="35" borderId="28" xfId="0" applyFont="1" applyFill="1" applyBorder="1" applyAlignment="1">
      <alignment horizontal="center"/>
    </xf>
    <xf numFmtId="165" fontId="13" fillId="0" borderId="30" xfId="0" applyNumberFormat="1" applyFont="1" applyBorder="1" applyAlignment="1">
      <alignment/>
    </xf>
    <xf numFmtId="0" fontId="13" fillId="35" borderId="29" xfId="0" applyFont="1" applyFill="1" applyBorder="1" applyAlignment="1">
      <alignment horizontal="center"/>
    </xf>
    <xf numFmtId="0" fontId="13" fillId="36" borderId="28" xfId="0" applyFont="1" applyFill="1" applyBorder="1" applyAlignment="1">
      <alignment horizontal="center"/>
    </xf>
    <xf numFmtId="0" fontId="13" fillId="36" borderId="29" xfId="0" applyFont="1" applyFill="1" applyBorder="1" applyAlignment="1">
      <alignment horizontal="center"/>
    </xf>
    <xf numFmtId="2" fontId="14" fillId="0" borderId="29" xfId="0" applyNumberFormat="1" applyFont="1" applyBorder="1" applyAlignment="1">
      <alignment/>
    </xf>
    <xf numFmtId="2" fontId="15" fillId="0" borderId="30" xfId="0" applyNumberFormat="1" applyFont="1" applyBorder="1" applyAlignment="1">
      <alignment/>
    </xf>
    <xf numFmtId="0" fontId="7" fillId="34" borderId="10" xfId="0" applyFont="1" applyFill="1" applyBorder="1" applyAlignment="1">
      <alignment/>
    </xf>
    <xf numFmtId="0" fontId="5" fillId="34" borderId="11" xfId="0" applyFont="1" applyFill="1" applyBorder="1" applyAlignment="1">
      <alignment/>
    </xf>
    <xf numFmtId="10" fontId="5" fillId="0" borderId="0" xfId="0" applyNumberFormat="1" applyFont="1" applyAlignment="1">
      <alignment/>
    </xf>
    <xf numFmtId="0" fontId="5" fillId="34" borderId="21" xfId="0" applyFont="1" applyFill="1" applyBorder="1" applyAlignment="1">
      <alignment/>
    </xf>
    <xf numFmtId="0" fontId="5" fillId="34" borderId="15" xfId="0" applyFont="1" applyFill="1" applyBorder="1" applyAlignment="1">
      <alignment/>
    </xf>
    <xf numFmtId="2" fontId="5" fillId="33" borderId="13" xfId="0" applyNumberFormat="1" applyFont="1" applyFill="1" applyBorder="1" applyAlignment="1">
      <alignment/>
    </xf>
    <xf numFmtId="181" fontId="5" fillId="33" borderId="13" xfId="0" applyNumberFormat="1" applyFont="1" applyFill="1" applyBorder="1" applyAlignment="1">
      <alignment/>
    </xf>
    <xf numFmtId="0" fontId="7" fillId="34" borderId="28" xfId="0" applyFont="1" applyFill="1" applyBorder="1" applyAlignment="1">
      <alignment horizontal="center"/>
    </xf>
    <xf numFmtId="0" fontId="7" fillId="34" borderId="30" xfId="0" applyFont="1" applyFill="1" applyBorder="1" applyAlignment="1">
      <alignment horizontal="center"/>
    </xf>
    <xf numFmtId="9" fontId="5" fillId="33" borderId="29" xfId="53" applyFont="1" applyFill="1" applyBorder="1" applyAlignment="1">
      <alignment/>
    </xf>
    <xf numFmtId="9" fontId="5" fillId="33" borderId="30" xfId="53" applyFont="1" applyFill="1" applyBorder="1" applyAlignment="1">
      <alignment/>
    </xf>
    <xf numFmtId="2" fontId="5" fillId="33" borderId="21" xfId="0" applyNumberFormat="1" applyFont="1" applyFill="1" applyBorder="1" applyAlignment="1">
      <alignment/>
    </xf>
    <xf numFmtId="0" fontId="7" fillId="34" borderId="11" xfId="0" applyFont="1" applyFill="1" applyBorder="1" applyAlignment="1">
      <alignment horizontal="center"/>
    </xf>
    <xf numFmtId="0" fontId="7" fillId="34" borderId="15" xfId="0" applyFont="1" applyFill="1" applyBorder="1" applyAlignment="1">
      <alignment horizontal="center"/>
    </xf>
    <xf numFmtId="0" fontId="5" fillId="33" borderId="31" xfId="0" applyFont="1" applyFill="1" applyBorder="1" applyAlignment="1">
      <alignment/>
    </xf>
    <xf numFmtId="9" fontId="5" fillId="33" borderId="32" xfId="53" applyFont="1" applyFill="1" applyBorder="1" applyAlignment="1">
      <alignment/>
    </xf>
    <xf numFmtId="0" fontId="5" fillId="33" borderId="33" xfId="0" applyFont="1" applyFill="1" applyBorder="1" applyAlignment="1">
      <alignment/>
    </xf>
    <xf numFmtId="2" fontId="5" fillId="33" borderId="33" xfId="0" applyNumberFormat="1" applyFont="1" applyFill="1" applyBorder="1" applyAlignment="1">
      <alignment/>
    </xf>
    <xf numFmtId="9" fontId="5" fillId="33" borderId="34" xfId="53" applyFont="1" applyFill="1" applyBorder="1" applyAlignment="1">
      <alignment/>
    </xf>
    <xf numFmtId="181" fontId="5" fillId="33" borderId="31" xfId="0" applyNumberFormat="1" applyFont="1" applyFill="1" applyBorder="1" applyAlignment="1">
      <alignment/>
    </xf>
    <xf numFmtId="2" fontId="5" fillId="33" borderId="31" xfId="0" applyNumberFormat="1" applyFont="1" applyFill="1" applyBorder="1" applyAlignment="1">
      <alignment/>
    </xf>
    <xf numFmtId="0" fontId="7" fillId="0" borderId="0" xfId="0" applyFont="1" applyAlignment="1">
      <alignment horizontal="center"/>
    </xf>
    <xf numFmtId="165" fontId="11" fillId="33" borderId="0" xfId="0" applyNumberFormat="1" applyFont="1" applyFill="1" applyBorder="1" applyAlignment="1" applyProtection="1">
      <alignment/>
      <protection locked="0"/>
    </xf>
    <xf numFmtId="165" fontId="12" fillId="33" borderId="14" xfId="0" applyNumberFormat="1" applyFont="1" applyFill="1" applyBorder="1" applyAlignment="1" applyProtection="1">
      <alignment/>
      <protection locked="0"/>
    </xf>
    <xf numFmtId="165" fontId="11" fillId="33" borderId="22" xfId="0" applyNumberFormat="1" applyFont="1" applyFill="1" applyBorder="1" applyAlignment="1" applyProtection="1">
      <alignment/>
      <protection locked="0"/>
    </xf>
    <xf numFmtId="165" fontId="12" fillId="33" borderId="23" xfId="0" applyNumberFormat="1" applyFont="1" applyFill="1" applyBorder="1" applyAlignment="1" applyProtection="1">
      <alignment/>
      <protection locked="0"/>
    </xf>
    <xf numFmtId="0" fontId="13" fillId="0" borderId="0" xfId="0" applyFont="1" applyFill="1" applyAlignment="1">
      <alignment/>
    </xf>
    <xf numFmtId="165" fontId="12" fillId="33" borderId="14" xfId="57" applyNumberFormat="1" applyFont="1" applyFill="1" applyBorder="1" applyAlignment="1" applyProtection="1">
      <alignment/>
      <protection locked="0"/>
    </xf>
    <xf numFmtId="165" fontId="11" fillId="33" borderId="0" xfId="0" applyNumberFormat="1" applyFont="1" applyFill="1" applyBorder="1" applyAlignment="1" applyProtection="1">
      <alignment/>
      <protection/>
    </xf>
    <xf numFmtId="165" fontId="12" fillId="33" borderId="14" xfId="57" applyNumberFormat="1" applyFont="1" applyFill="1" applyBorder="1" applyAlignment="1" applyProtection="1">
      <alignment/>
      <protection/>
    </xf>
    <xf numFmtId="0" fontId="13" fillId="37" borderId="28" xfId="0" applyFont="1" applyFill="1" applyBorder="1" applyAlignment="1">
      <alignment horizontal="center"/>
    </xf>
    <xf numFmtId="0" fontId="13" fillId="37" borderId="29" xfId="0" applyFont="1" applyFill="1" applyBorder="1" applyAlignment="1">
      <alignment/>
    </xf>
    <xf numFmtId="0" fontId="13" fillId="37" borderId="28" xfId="0" applyFont="1" applyFill="1" applyBorder="1" applyAlignment="1">
      <alignment/>
    </xf>
    <xf numFmtId="10" fontId="5" fillId="33" borderId="13" xfId="53" applyNumberFormat="1" applyFont="1" applyFill="1" applyBorder="1" applyAlignment="1">
      <alignment/>
    </xf>
    <xf numFmtId="10" fontId="5" fillId="33" borderId="29" xfId="53" applyNumberFormat="1" applyFont="1" applyFill="1" applyBorder="1" applyAlignment="1">
      <alignment/>
    </xf>
    <xf numFmtId="10" fontId="5" fillId="33" borderId="13" xfId="0" applyNumberFormat="1" applyFont="1" applyFill="1" applyBorder="1" applyAlignment="1">
      <alignment/>
    </xf>
    <xf numFmtId="10" fontId="5" fillId="33" borderId="31" xfId="53" applyNumberFormat="1" applyFont="1" applyFill="1" applyBorder="1" applyAlignment="1">
      <alignment/>
    </xf>
    <xf numFmtId="10" fontId="5" fillId="33" borderId="32" xfId="53" applyNumberFormat="1" applyFont="1" applyFill="1" applyBorder="1" applyAlignment="1">
      <alignment/>
    </xf>
    <xf numFmtId="10" fontId="5" fillId="33" borderId="33" xfId="0" applyNumberFormat="1" applyFont="1" applyFill="1" applyBorder="1" applyAlignment="1">
      <alignment/>
    </xf>
    <xf numFmtId="10" fontId="5" fillId="33" borderId="34" xfId="53"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21</xdr:row>
      <xdr:rowOff>0</xdr:rowOff>
    </xdr:from>
    <xdr:to>
      <xdr:col>5</xdr:col>
      <xdr:colOff>276225</xdr:colOff>
      <xdr:row>21</xdr:row>
      <xdr:rowOff>0</xdr:rowOff>
    </xdr:to>
    <xdr:sp>
      <xdr:nvSpPr>
        <xdr:cNvPr id="1" name="Line 17"/>
        <xdr:cNvSpPr>
          <a:spLocks/>
        </xdr:cNvSpPr>
      </xdr:nvSpPr>
      <xdr:spPr>
        <a:xfrm>
          <a:off x="6334125" y="3362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14</xdr:row>
      <xdr:rowOff>0</xdr:rowOff>
    </xdr:from>
    <xdr:to>
      <xdr:col>11</xdr:col>
      <xdr:colOff>0</xdr:colOff>
      <xdr:row>21</xdr:row>
      <xdr:rowOff>38100</xdr:rowOff>
    </xdr:to>
    <xdr:sp>
      <xdr:nvSpPr>
        <xdr:cNvPr id="1" name="Line 8"/>
        <xdr:cNvSpPr>
          <a:spLocks/>
        </xdr:cNvSpPr>
      </xdr:nvSpPr>
      <xdr:spPr>
        <a:xfrm flipH="1" flipV="1">
          <a:off x="7429500" y="2143125"/>
          <a:ext cx="742950" cy="1038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57150</xdr:rowOff>
    </xdr:from>
    <xdr:to>
      <xdr:col>11</xdr:col>
      <xdr:colOff>0</xdr:colOff>
      <xdr:row>13</xdr:row>
      <xdr:rowOff>66675</xdr:rowOff>
    </xdr:to>
    <xdr:sp>
      <xdr:nvSpPr>
        <xdr:cNvPr id="2" name="Line 9"/>
        <xdr:cNvSpPr>
          <a:spLocks/>
        </xdr:cNvSpPr>
      </xdr:nvSpPr>
      <xdr:spPr>
        <a:xfrm flipH="1">
          <a:off x="7429500" y="914400"/>
          <a:ext cx="742950" cy="11525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27</xdr:row>
      <xdr:rowOff>66675</xdr:rowOff>
    </xdr:from>
    <xdr:to>
      <xdr:col>7</xdr:col>
      <xdr:colOff>0</xdr:colOff>
      <xdr:row>30</xdr:row>
      <xdr:rowOff>38100</xdr:rowOff>
    </xdr:to>
    <xdr:sp>
      <xdr:nvSpPr>
        <xdr:cNvPr id="3" name="Line 15"/>
        <xdr:cNvSpPr>
          <a:spLocks/>
        </xdr:cNvSpPr>
      </xdr:nvSpPr>
      <xdr:spPr>
        <a:xfrm flipH="1">
          <a:off x="4457700" y="4067175"/>
          <a:ext cx="742950" cy="4000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30</xdr:row>
      <xdr:rowOff>95250</xdr:rowOff>
    </xdr:from>
    <xdr:to>
      <xdr:col>6</xdr:col>
      <xdr:colOff>733425</xdr:colOff>
      <xdr:row>33</xdr:row>
      <xdr:rowOff>66675</xdr:rowOff>
    </xdr:to>
    <xdr:sp>
      <xdr:nvSpPr>
        <xdr:cNvPr id="4" name="Line 16"/>
        <xdr:cNvSpPr>
          <a:spLocks/>
        </xdr:cNvSpPr>
      </xdr:nvSpPr>
      <xdr:spPr>
        <a:xfrm flipH="1" flipV="1">
          <a:off x="4457700" y="4524375"/>
          <a:ext cx="733425" cy="4000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66675</xdr:rowOff>
    </xdr:from>
    <xdr:to>
      <xdr:col>7</xdr:col>
      <xdr:colOff>0</xdr:colOff>
      <xdr:row>16</xdr:row>
      <xdr:rowOff>57150</xdr:rowOff>
    </xdr:to>
    <xdr:sp>
      <xdr:nvSpPr>
        <xdr:cNvPr id="5" name="Line 17"/>
        <xdr:cNvSpPr>
          <a:spLocks/>
        </xdr:cNvSpPr>
      </xdr:nvSpPr>
      <xdr:spPr>
        <a:xfrm flipH="1" flipV="1">
          <a:off x="4457700" y="2066925"/>
          <a:ext cx="742950" cy="4191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10</xdr:row>
      <xdr:rowOff>47625</xdr:rowOff>
    </xdr:from>
    <xdr:to>
      <xdr:col>6</xdr:col>
      <xdr:colOff>733425</xdr:colOff>
      <xdr:row>13</xdr:row>
      <xdr:rowOff>28575</xdr:rowOff>
    </xdr:to>
    <xdr:sp>
      <xdr:nvSpPr>
        <xdr:cNvPr id="6" name="Line 18"/>
        <xdr:cNvSpPr>
          <a:spLocks/>
        </xdr:cNvSpPr>
      </xdr:nvSpPr>
      <xdr:spPr>
        <a:xfrm flipH="1">
          <a:off x="4457700" y="1619250"/>
          <a:ext cx="733425" cy="40957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57150</xdr:rowOff>
    </xdr:from>
    <xdr:to>
      <xdr:col>9</xdr:col>
      <xdr:colOff>0</xdr:colOff>
      <xdr:row>10</xdr:row>
      <xdr:rowOff>28575</xdr:rowOff>
    </xdr:to>
    <xdr:sp>
      <xdr:nvSpPr>
        <xdr:cNvPr id="7" name="Line 21"/>
        <xdr:cNvSpPr>
          <a:spLocks/>
        </xdr:cNvSpPr>
      </xdr:nvSpPr>
      <xdr:spPr>
        <a:xfrm flipH="1">
          <a:off x="5943600" y="1200150"/>
          <a:ext cx="742950" cy="4000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733425</xdr:colOff>
      <xdr:row>10</xdr:row>
      <xdr:rowOff>85725</xdr:rowOff>
    </xdr:from>
    <xdr:to>
      <xdr:col>9</xdr:col>
      <xdr:colOff>19050</xdr:colOff>
      <xdr:row>13</xdr:row>
      <xdr:rowOff>76200</xdr:rowOff>
    </xdr:to>
    <xdr:sp>
      <xdr:nvSpPr>
        <xdr:cNvPr id="8" name="Line 22"/>
        <xdr:cNvSpPr>
          <a:spLocks/>
        </xdr:cNvSpPr>
      </xdr:nvSpPr>
      <xdr:spPr>
        <a:xfrm flipH="1" flipV="1">
          <a:off x="5934075" y="1657350"/>
          <a:ext cx="771525" cy="4191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24</xdr:row>
      <xdr:rowOff>66675</xdr:rowOff>
    </xdr:from>
    <xdr:to>
      <xdr:col>9</xdr:col>
      <xdr:colOff>0</xdr:colOff>
      <xdr:row>33</xdr:row>
      <xdr:rowOff>47625</xdr:rowOff>
    </xdr:to>
    <xdr:sp>
      <xdr:nvSpPr>
        <xdr:cNvPr id="9" name="Line 23"/>
        <xdr:cNvSpPr>
          <a:spLocks/>
        </xdr:cNvSpPr>
      </xdr:nvSpPr>
      <xdr:spPr>
        <a:xfrm flipH="1">
          <a:off x="5943600" y="3638550"/>
          <a:ext cx="742950" cy="12668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733425</xdr:colOff>
      <xdr:row>30</xdr:row>
      <xdr:rowOff>76200</xdr:rowOff>
    </xdr:from>
    <xdr:to>
      <xdr:col>9</xdr:col>
      <xdr:colOff>0</xdr:colOff>
      <xdr:row>33</xdr:row>
      <xdr:rowOff>76200</xdr:rowOff>
    </xdr:to>
    <xdr:sp>
      <xdr:nvSpPr>
        <xdr:cNvPr id="10" name="Line 24"/>
        <xdr:cNvSpPr>
          <a:spLocks/>
        </xdr:cNvSpPr>
      </xdr:nvSpPr>
      <xdr:spPr>
        <a:xfrm flipH="1">
          <a:off x="5934075" y="4505325"/>
          <a:ext cx="752475" cy="4286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723900</xdr:colOff>
      <xdr:row>33</xdr:row>
      <xdr:rowOff>85725</xdr:rowOff>
    </xdr:from>
    <xdr:to>
      <xdr:col>9</xdr:col>
      <xdr:colOff>0</xdr:colOff>
      <xdr:row>36</xdr:row>
      <xdr:rowOff>85725</xdr:rowOff>
    </xdr:to>
    <xdr:sp>
      <xdr:nvSpPr>
        <xdr:cNvPr id="11" name="Line 25"/>
        <xdr:cNvSpPr>
          <a:spLocks/>
        </xdr:cNvSpPr>
      </xdr:nvSpPr>
      <xdr:spPr>
        <a:xfrm flipH="1" flipV="1">
          <a:off x="5924550" y="4943475"/>
          <a:ext cx="762000" cy="4286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714375</xdr:colOff>
      <xdr:row>33</xdr:row>
      <xdr:rowOff>133350</xdr:rowOff>
    </xdr:from>
    <xdr:to>
      <xdr:col>9</xdr:col>
      <xdr:colOff>9525</xdr:colOff>
      <xdr:row>42</xdr:row>
      <xdr:rowOff>66675</xdr:rowOff>
    </xdr:to>
    <xdr:sp>
      <xdr:nvSpPr>
        <xdr:cNvPr id="12" name="Line 26"/>
        <xdr:cNvSpPr>
          <a:spLocks/>
        </xdr:cNvSpPr>
      </xdr:nvSpPr>
      <xdr:spPr>
        <a:xfrm flipH="1" flipV="1">
          <a:off x="5915025" y="4991100"/>
          <a:ext cx="781050" cy="12192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0</xdr:rowOff>
    </xdr:from>
    <xdr:to>
      <xdr:col>11</xdr:col>
      <xdr:colOff>0</xdr:colOff>
      <xdr:row>13</xdr:row>
      <xdr:rowOff>85725</xdr:rowOff>
    </xdr:to>
    <xdr:sp>
      <xdr:nvSpPr>
        <xdr:cNvPr id="13" name="Line 27"/>
        <xdr:cNvSpPr>
          <a:spLocks/>
        </xdr:cNvSpPr>
      </xdr:nvSpPr>
      <xdr:spPr>
        <a:xfrm flipH="1">
          <a:off x="7429500" y="1714500"/>
          <a:ext cx="742950" cy="37147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13</xdr:row>
      <xdr:rowOff>123825</xdr:rowOff>
    </xdr:from>
    <xdr:to>
      <xdr:col>10</xdr:col>
      <xdr:colOff>723900</xdr:colOff>
      <xdr:row>16</xdr:row>
      <xdr:rowOff>0</xdr:rowOff>
    </xdr:to>
    <xdr:sp>
      <xdr:nvSpPr>
        <xdr:cNvPr id="14" name="Line 28"/>
        <xdr:cNvSpPr>
          <a:spLocks/>
        </xdr:cNvSpPr>
      </xdr:nvSpPr>
      <xdr:spPr>
        <a:xfrm flipH="1" flipV="1">
          <a:off x="7429500" y="2124075"/>
          <a:ext cx="723900" cy="3048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723900</xdr:colOff>
      <xdr:row>14</xdr:row>
      <xdr:rowOff>19050</xdr:rowOff>
    </xdr:from>
    <xdr:to>
      <xdr:col>11</xdr:col>
      <xdr:colOff>9525</xdr:colOff>
      <xdr:row>26</xdr:row>
      <xdr:rowOff>0</xdr:rowOff>
    </xdr:to>
    <xdr:sp>
      <xdr:nvSpPr>
        <xdr:cNvPr id="15" name="Line 29"/>
        <xdr:cNvSpPr>
          <a:spLocks/>
        </xdr:cNvSpPr>
      </xdr:nvSpPr>
      <xdr:spPr>
        <a:xfrm flipH="1" flipV="1">
          <a:off x="7410450" y="2162175"/>
          <a:ext cx="771525" cy="16954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xdr:row>
      <xdr:rowOff>133350</xdr:rowOff>
    </xdr:from>
    <xdr:to>
      <xdr:col>2</xdr:col>
      <xdr:colOff>733425</xdr:colOff>
      <xdr:row>22</xdr:row>
      <xdr:rowOff>133350</xdr:rowOff>
    </xdr:to>
    <xdr:sp>
      <xdr:nvSpPr>
        <xdr:cNvPr id="16" name="Rechte verbindingslijn met pijl 27"/>
        <xdr:cNvSpPr>
          <a:spLocks/>
        </xdr:cNvSpPr>
      </xdr:nvSpPr>
      <xdr:spPr>
        <a:xfrm rot="5400000">
          <a:off x="1485900" y="2562225"/>
          <a:ext cx="733425" cy="857250"/>
        </a:xfrm>
        <a:prstGeom prst="straightConnector1">
          <a:avLst/>
        </a:prstGeom>
        <a:solidFill>
          <a:srgbClr val="FFFFFF"/>
        </a:solid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723900</xdr:colOff>
      <xdr:row>22</xdr:row>
      <xdr:rowOff>123825</xdr:rowOff>
    </xdr:from>
    <xdr:to>
      <xdr:col>2</xdr:col>
      <xdr:colOff>733425</xdr:colOff>
      <xdr:row>27</xdr:row>
      <xdr:rowOff>133350</xdr:rowOff>
    </xdr:to>
    <xdr:sp>
      <xdr:nvSpPr>
        <xdr:cNvPr id="17" name="Rechte verbindingslijn met pijl 29"/>
        <xdr:cNvSpPr>
          <a:spLocks/>
        </xdr:cNvSpPr>
      </xdr:nvSpPr>
      <xdr:spPr>
        <a:xfrm rot="10800000">
          <a:off x="1466850" y="3409950"/>
          <a:ext cx="752475" cy="723900"/>
        </a:xfrm>
        <a:prstGeom prst="straightConnector1">
          <a:avLst/>
        </a:prstGeom>
        <a:solidFill>
          <a:srgbClr val="FFFFFF"/>
        </a:solid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27</xdr:row>
      <xdr:rowOff>123825</xdr:rowOff>
    </xdr:from>
    <xdr:to>
      <xdr:col>4</xdr:col>
      <xdr:colOff>723900</xdr:colOff>
      <xdr:row>30</xdr:row>
      <xdr:rowOff>104775</xdr:rowOff>
    </xdr:to>
    <xdr:sp>
      <xdr:nvSpPr>
        <xdr:cNvPr id="18" name="Rechte verbindingslijn met pijl 31"/>
        <xdr:cNvSpPr>
          <a:spLocks/>
        </xdr:cNvSpPr>
      </xdr:nvSpPr>
      <xdr:spPr>
        <a:xfrm rot="10800000">
          <a:off x="2971800" y="4124325"/>
          <a:ext cx="723900" cy="409575"/>
        </a:xfrm>
        <a:prstGeom prst="straightConnector1">
          <a:avLst/>
        </a:prstGeom>
        <a:solidFill>
          <a:srgbClr val="FFFFFF"/>
        </a:solid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25</xdr:row>
      <xdr:rowOff>9525</xdr:rowOff>
    </xdr:from>
    <xdr:to>
      <xdr:col>5</xdr:col>
      <xdr:colOff>9525</xdr:colOff>
      <xdr:row>27</xdr:row>
      <xdr:rowOff>123825</xdr:rowOff>
    </xdr:to>
    <xdr:sp>
      <xdr:nvSpPr>
        <xdr:cNvPr id="19" name="Rechte verbindingslijn met pijl 33"/>
        <xdr:cNvSpPr>
          <a:spLocks/>
        </xdr:cNvSpPr>
      </xdr:nvSpPr>
      <xdr:spPr>
        <a:xfrm rot="10800000" flipV="1">
          <a:off x="2971800" y="3724275"/>
          <a:ext cx="752475" cy="400050"/>
        </a:xfrm>
        <a:prstGeom prst="straightConnector1">
          <a:avLst/>
        </a:prstGeom>
        <a:solidFill>
          <a:srgbClr val="FFFFFF"/>
        </a:solid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733425</xdr:colOff>
      <xdr:row>16</xdr:row>
      <xdr:rowOff>133350</xdr:rowOff>
    </xdr:from>
    <xdr:to>
      <xdr:col>4</xdr:col>
      <xdr:colOff>733425</xdr:colOff>
      <xdr:row>20</xdr:row>
      <xdr:rowOff>0</xdr:rowOff>
    </xdr:to>
    <xdr:sp>
      <xdr:nvSpPr>
        <xdr:cNvPr id="20" name="Rechte verbindingslijn met pijl 35"/>
        <xdr:cNvSpPr>
          <a:spLocks/>
        </xdr:cNvSpPr>
      </xdr:nvSpPr>
      <xdr:spPr>
        <a:xfrm rot="10800000">
          <a:off x="2962275" y="2562225"/>
          <a:ext cx="742950" cy="438150"/>
        </a:xfrm>
        <a:prstGeom prst="straightConnector1">
          <a:avLst/>
        </a:prstGeom>
        <a:solidFill>
          <a:srgbClr val="FFFFFF"/>
        </a:solid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38100</xdr:colOff>
      <xdr:row>14</xdr:row>
      <xdr:rowOff>0</xdr:rowOff>
    </xdr:from>
    <xdr:to>
      <xdr:col>4</xdr:col>
      <xdr:colOff>723900</xdr:colOff>
      <xdr:row>17</xdr:row>
      <xdr:rowOff>0</xdr:rowOff>
    </xdr:to>
    <xdr:sp>
      <xdr:nvSpPr>
        <xdr:cNvPr id="21" name="Rechte verbindingslijn met pijl 37"/>
        <xdr:cNvSpPr>
          <a:spLocks/>
        </xdr:cNvSpPr>
      </xdr:nvSpPr>
      <xdr:spPr>
        <a:xfrm rot="10800000" flipV="1">
          <a:off x="3009900" y="2143125"/>
          <a:ext cx="685800" cy="428625"/>
        </a:xfrm>
        <a:prstGeom prst="straightConnector1">
          <a:avLst/>
        </a:prstGeom>
        <a:solidFill>
          <a:srgbClr val="FFFFFF"/>
        </a:solid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G51"/>
  <sheetViews>
    <sheetView tabSelected="1" view="pageBreakPreview" zoomScaleSheetLayoutView="100" zoomScalePageLayoutView="0" workbookViewId="0" topLeftCell="A12">
      <selection activeCell="E41" sqref="E41"/>
    </sheetView>
  </sheetViews>
  <sheetFormatPr defaultColWidth="9.140625" defaultRowHeight="12.75"/>
  <cols>
    <col min="1" max="1" width="9.140625" style="2" customWidth="1"/>
    <col min="2" max="2" width="32.140625" style="2" customWidth="1"/>
    <col min="3" max="3" width="3.8515625" style="2" customWidth="1"/>
    <col min="4" max="4" width="3.421875" style="2" customWidth="1"/>
    <col min="5" max="6" width="18.7109375" style="2" customWidth="1"/>
    <col min="7" max="16384" width="9.140625" style="2" customWidth="1"/>
  </cols>
  <sheetData>
    <row r="3" ht="21.75">
      <c r="B3" s="1" t="s">
        <v>123</v>
      </c>
    </row>
    <row r="4" ht="12.75" thickBot="1"/>
    <row r="5" spans="2:6" ht="12">
      <c r="B5" s="3" t="s">
        <v>0</v>
      </c>
      <c r="C5" s="4"/>
      <c r="D5" s="5"/>
      <c r="E5" s="4"/>
      <c r="F5" s="6"/>
    </row>
    <row r="6" spans="2:6" ht="12">
      <c r="B6" s="7"/>
      <c r="C6" s="8"/>
      <c r="D6" s="9"/>
      <c r="E6" s="8"/>
      <c r="F6" s="10"/>
    </row>
    <row r="7" spans="2:6" ht="12">
      <c r="B7" s="11"/>
      <c r="C7" s="8"/>
      <c r="D7" s="9"/>
      <c r="E7" s="8"/>
      <c r="F7" s="10"/>
    </row>
    <row r="8" spans="2:6" ht="12.75" thickBot="1">
      <c r="B8" s="12" t="s">
        <v>1</v>
      </c>
      <c r="C8" s="13"/>
      <c r="D8" s="8"/>
      <c r="E8" s="14" t="s">
        <v>96</v>
      </c>
      <c r="F8" s="15" t="s">
        <v>97</v>
      </c>
    </row>
    <row r="9" spans="2:6" ht="12">
      <c r="B9" s="12" t="s">
        <v>4</v>
      </c>
      <c r="C9" s="13"/>
      <c r="D9" s="8"/>
      <c r="E9" s="16"/>
      <c r="F9" s="17"/>
    </row>
    <row r="10" spans="2:7" ht="12">
      <c r="B10" s="18" t="s">
        <v>12</v>
      </c>
      <c r="C10" s="19"/>
      <c r="D10" s="20"/>
      <c r="E10" s="95">
        <v>7282</v>
      </c>
      <c r="F10" s="100">
        <v>32402</v>
      </c>
      <c r="G10" s="23"/>
    </row>
    <row r="11" spans="2:7" ht="12">
      <c r="B11" s="18" t="s">
        <v>31</v>
      </c>
      <c r="C11" s="19"/>
      <c r="D11" s="20"/>
      <c r="E11" s="95">
        <v>0</v>
      </c>
      <c r="F11" s="100">
        <v>0</v>
      </c>
      <c r="G11" s="23"/>
    </row>
    <row r="12" spans="2:7" ht="12">
      <c r="B12" s="18" t="s">
        <v>13</v>
      </c>
      <c r="C12" s="19"/>
      <c r="D12" s="20"/>
      <c r="E12" s="95">
        <v>684000</v>
      </c>
      <c r="F12" s="100">
        <v>684000</v>
      </c>
      <c r="G12" s="23"/>
    </row>
    <row r="13" spans="2:7" ht="12">
      <c r="B13" s="18" t="s">
        <v>2</v>
      </c>
      <c r="C13" s="19"/>
      <c r="D13" s="20"/>
      <c r="E13" s="95">
        <v>684000</v>
      </c>
      <c r="F13" s="100">
        <f>0.96*E13</f>
        <v>656640</v>
      </c>
      <c r="G13" s="23"/>
    </row>
    <row r="14" spans="2:7" ht="12">
      <c r="B14" s="18" t="s">
        <v>14</v>
      </c>
      <c r="C14" s="19"/>
      <c r="D14" s="20"/>
      <c r="E14" s="95">
        <v>0</v>
      </c>
      <c r="F14" s="100">
        <v>0</v>
      </c>
      <c r="G14" s="23"/>
    </row>
    <row r="15" spans="2:7" ht="12">
      <c r="B15" s="11" t="s">
        <v>3</v>
      </c>
      <c r="C15" s="13"/>
      <c r="D15" s="8"/>
      <c r="E15" s="24">
        <f>SUM(E10:E14)</f>
        <v>1375282</v>
      </c>
      <c r="F15" s="25">
        <f>SUM(F10:F14)</f>
        <v>1373042</v>
      </c>
      <c r="G15" s="23"/>
    </row>
    <row r="16" spans="2:7" ht="12">
      <c r="B16" s="26"/>
      <c r="C16" s="13"/>
      <c r="D16" s="8"/>
      <c r="E16" s="16"/>
      <c r="F16" s="17"/>
      <c r="G16" s="23"/>
    </row>
    <row r="17" spans="2:7" ht="12">
      <c r="B17" s="11" t="s">
        <v>5</v>
      </c>
      <c r="C17" s="13"/>
      <c r="D17" s="8"/>
      <c r="E17" s="16"/>
      <c r="F17" s="17"/>
      <c r="G17" s="23"/>
    </row>
    <row r="18" spans="2:7" ht="12">
      <c r="B18" s="18" t="s">
        <v>8</v>
      </c>
      <c r="C18" s="19"/>
      <c r="D18" s="20"/>
      <c r="E18" s="95">
        <v>800000</v>
      </c>
      <c r="F18" s="100">
        <v>800000</v>
      </c>
      <c r="G18" s="23"/>
    </row>
    <row r="19" spans="2:7" ht="12">
      <c r="B19" s="18" t="s">
        <v>9</v>
      </c>
      <c r="C19" s="19"/>
      <c r="D19" s="20"/>
      <c r="E19" s="95">
        <v>1000000</v>
      </c>
      <c r="F19" s="100">
        <v>1000000</v>
      </c>
      <c r="G19" s="23"/>
    </row>
    <row r="20" spans="2:7" ht="12">
      <c r="B20" s="18" t="s">
        <v>10</v>
      </c>
      <c r="C20" s="19"/>
      <c r="D20" s="20"/>
      <c r="E20" s="95">
        <v>0</v>
      </c>
      <c r="F20" s="100">
        <v>0</v>
      </c>
      <c r="G20" s="23"/>
    </row>
    <row r="21" spans="2:7" ht="12">
      <c r="B21" s="18" t="s">
        <v>11</v>
      </c>
      <c r="C21" s="19"/>
      <c r="D21" s="20"/>
      <c r="E21" s="95">
        <v>0</v>
      </c>
      <c r="F21" s="100">
        <v>0</v>
      </c>
      <c r="G21" s="23"/>
    </row>
    <row r="22" spans="2:7" ht="12">
      <c r="B22" s="18" t="s">
        <v>6</v>
      </c>
      <c r="C22" s="19"/>
      <c r="D22" s="20"/>
      <c r="E22" s="95">
        <v>-200000</v>
      </c>
      <c r="F22" s="100">
        <v>-200000</v>
      </c>
      <c r="G22" s="23"/>
    </row>
    <row r="23" spans="2:7" ht="12">
      <c r="B23" s="11" t="s">
        <v>16</v>
      </c>
      <c r="C23" s="13"/>
      <c r="D23" s="8"/>
      <c r="E23" s="24">
        <f>SUM(E18:E22)</f>
        <v>1600000</v>
      </c>
      <c r="F23" s="25">
        <f>SUM(F18:F22)</f>
        <v>1600000</v>
      </c>
      <c r="G23" s="23"/>
    </row>
    <row r="24" spans="2:7" ht="12">
      <c r="B24" s="11"/>
      <c r="C24" s="13"/>
      <c r="D24" s="8"/>
      <c r="E24" s="16"/>
      <c r="F24" s="27"/>
      <c r="G24" s="23"/>
    </row>
    <row r="25" spans="2:7" ht="12.75" thickBot="1">
      <c r="B25" s="11" t="s">
        <v>7</v>
      </c>
      <c r="C25" s="13"/>
      <c r="D25" s="8"/>
      <c r="E25" s="28">
        <f>SUM(E15,E23)</f>
        <v>2975282</v>
      </c>
      <c r="F25" s="29">
        <f>SUM(F15,F23)</f>
        <v>2973042</v>
      </c>
      <c r="G25" s="23"/>
    </row>
    <row r="26" spans="2:7" ht="12.75" thickTop="1">
      <c r="B26" s="11"/>
      <c r="C26" s="13"/>
      <c r="D26" s="8"/>
      <c r="E26" s="16"/>
      <c r="F26" s="27"/>
      <c r="G26" s="23"/>
    </row>
    <row r="27" spans="2:7" ht="12">
      <c r="B27" s="12" t="s">
        <v>22</v>
      </c>
      <c r="C27" s="13"/>
      <c r="D27" s="8"/>
      <c r="E27" s="16"/>
      <c r="F27" s="17"/>
      <c r="G27" s="23"/>
    </row>
    <row r="28" spans="2:7" ht="12">
      <c r="B28" s="12"/>
      <c r="C28" s="13"/>
      <c r="D28" s="8"/>
      <c r="E28" s="16"/>
      <c r="F28" s="17"/>
      <c r="G28" s="23"/>
    </row>
    <row r="29" spans="2:7" ht="12">
      <c r="B29" s="12" t="s">
        <v>23</v>
      </c>
      <c r="C29" s="13"/>
      <c r="D29" s="8"/>
      <c r="E29" s="16"/>
      <c r="F29" s="17"/>
      <c r="G29" s="23"/>
    </row>
    <row r="30" spans="2:7" ht="12">
      <c r="B30" s="18" t="s">
        <v>23</v>
      </c>
      <c r="C30" s="19"/>
      <c r="D30" s="20"/>
      <c r="E30" s="95">
        <v>1146282</v>
      </c>
      <c r="F30" s="96">
        <v>1075210</v>
      </c>
      <c r="G30" s="23"/>
    </row>
    <row r="31" spans="2:7" ht="12">
      <c r="B31" s="18" t="s">
        <v>24</v>
      </c>
      <c r="C31" s="19"/>
      <c r="D31" s="20"/>
      <c r="E31" s="95">
        <v>0</v>
      </c>
      <c r="F31" s="96">
        <v>0</v>
      </c>
      <c r="G31" s="23"/>
    </row>
    <row r="32" spans="2:7" ht="12">
      <c r="B32" s="18" t="s">
        <v>25</v>
      </c>
      <c r="C32" s="19"/>
      <c r="D32" s="20"/>
      <c r="E32" s="95">
        <v>0</v>
      </c>
      <c r="F32" s="96">
        <v>0</v>
      </c>
      <c r="G32" s="23"/>
    </row>
    <row r="33" spans="2:7" ht="12">
      <c r="B33" s="18" t="s">
        <v>26</v>
      </c>
      <c r="C33" s="19"/>
      <c r="D33" s="20"/>
      <c r="E33" s="95">
        <v>0</v>
      </c>
      <c r="F33" s="96">
        <v>0</v>
      </c>
      <c r="G33" s="23"/>
    </row>
    <row r="34" spans="2:7" ht="12">
      <c r="B34" s="18" t="s">
        <v>27</v>
      </c>
      <c r="C34" s="19"/>
      <c r="D34" s="20"/>
      <c r="E34" s="95">
        <v>0</v>
      </c>
      <c r="F34" s="96">
        <v>0</v>
      </c>
      <c r="G34" s="23"/>
    </row>
    <row r="35" spans="2:7" ht="12">
      <c r="B35" s="18" t="s">
        <v>28</v>
      </c>
      <c r="C35" s="19"/>
      <c r="D35" s="20"/>
      <c r="E35" s="95">
        <v>0</v>
      </c>
      <c r="F35" s="96">
        <v>0</v>
      </c>
      <c r="G35" s="23"/>
    </row>
    <row r="36" spans="2:7" ht="12">
      <c r="B36" s="18" t="s">
        <v>127</v>
      </c>
      <c r="C36" s="19"/>
      <c r="D36" s="20"/>
      <c r="E36" s="101">
        <f>'W&amp;V'!E40</f>
        <v>14000</v>
      </c>
      <c r="F36" s="102">
        <f>'W&amp;V'!F40</f>
        <v>107952</v>
      </c>
      <c r="G36" s="23"/>
    </row>
    <row r="37" spans="2:7" ht="12">
      <c r="B37" s="11" t="s">
        <v>29</v>
      </c>
      <c r="C37" s="13"/>
      <c r="D37" s="8"/>
      <c r="E37" s="24">
        <f>SUM(E30:E36)</f>
        <v>1160282</v>
      </c>
      <c r="F37" s="25">
        <f>SUM(F30:F36)</f>
        <v>1183162</v>
      </c>
      <c r="G37" s="23"/>
    </row>
    <row r="38" spans="2:7" ht="12">
      <c r="B38" s="18"/>
      <c r="C38" s="19"/>
      <c r="D38" s="20"/>
      <c r="E38" s="21"/>
      <c r="F38" s="22"/>
      <c r="G38" s="23"/>
    </row>
    <row r="39" spans="2:7" ht="12">
      <c r="B39" s="18" t="s">
        <v>17</v>
      </c>
      <c r="C39" s="19"/>
      <c r="D39" s="20"/>
      <c r="E39" s="95">
        <v>628000</v>
      </c>
      <c r="F39" s="100">
        <f>0.96*E39</f>
        <v>602880</v>
      </c>
      <c r="G39" s="23"/>
    </row>
    <row r="40" spans="2:7" ht="12">
      <c r="B40" s="18" t="s">
        <v>20</v>
      </c>
      <c r="C40" s="19"/>
      <c r="D40" s="20"/>
      <c r="E40" s="95">
        <v>187000</v>
      </c>
      <c r="F40" s="100">
        <v>187000</v>
      </c>
      <c r="G40" s="23"/>
    </row>
    <row r="41" spans="2:7" ht="12">
      <c r="B41" s="18" t="s">
        <v>18</v>
      </c>
      <c r="C41" s="19"/>
      <c r="D41" s="20"/>
      <c r="E41" s="95">
        <v>1000000</v>
      </c>
      <c r="F41" s="100">
        <v>1000000</v>
      </c>
      <c r="G41" s="23"/>
    </row>
    <row r="42" spans="2:7" ht="12">
      <c r="B42" s="18" t="s">
        <v>19</v>
      </c>
      <c r="C42" s="19"/>
      <c r="D42" s="20"/>
      <c r="E42" s="95">
        <v>0</v>
      </c>
      <c r="F42" s="100">
        <v>0</v>
      </c>
      <c r="G42" s="23"/>
    </row>
    <row r="43" spans="2:7" ht="12">
      <c r="B43" s="18" t="s">
        <v>32</v>
      </c>
      <c r="C43" s="19"/>
      <c r="D43" s="20"/>
      <c r="E43" s="95">
        <v>0</v>
      </c>
      <c r="F43" s="100">
        <v>0</v>
      </c>
      <c r="G43" s="23"/>
    </row>
    <row r="44" spans="2:7" ht="12">
      <c r="B44" s="11" t="s">
        <v>21</v>
      </c>
      <c r="C44" s="13"/>
      <c r="D44" s="8"/>
      <c r="E44" s="24">
        <f>SUM(E39:E43)</f>
        <v>1815000</v>
      </c>
      <c r="F44" s="25">
        <f>SUM(F39:F43)</f>
        <v>1789880</v>
      </c>
      <c r="G44" s="23"/>
    </row>
    <row r="45" spans="2:7" ht="12">
      <c r="B45" s="11"/>
      <c r="C45" s="13"/>
      <c r="D45" s="8"/>
      <c r="E45" s="16"/>
      <c r="F45" s="27"/>
      <c r="G45" s="23"/>
    </row>
    <row r="46" spans="2:7" ht="12">
      <c r="B46" s="18"/>
      <c r="C46" s="19"/>
      <c r="D46" s="20"/>
      <c r="E46" s="21"/>
      <c r="F46" s="22"/>
      <c r="G46" s="23"/>
    </row>
    <row r="47" spans="2:7" ht="12.75" thickBot="1">
      <c r="B47" s="11" t="s">
        <v>61</v>
      </c>
      <c r="C47" s="13"/>
      <c r="D47" s="8"/>
      <c r="E47" s="28">
        <f>E44+E37</f>
        <v>2975282</v>
      </c>
      <c r="F47" s="29">
        <f>F44+F37</f>
        <v>2973042</v>
      </c>
      <c r="G47" s="23"/>
    </row>
    <row r="48" spans="2:7" ht="12.75" thickTop="1">
      <c r="B48" s="18"/>
      <c r="C48" s="19"/>
      <c r="D48" s="20"/>
      <c r="E48" s="21"/>
      <c r="F48" s="22"/>
      <c r="G48" s="23"/>
    </row>
    <row r="49" spans="2:7" ht="12.75" thickBot="1">
      <c r="B49" s="31" t="s">
        <v>62</v>
      </c>
      <c r="C49" s="32"/>
      <c r="D49" s="33"/>
      <c r="E49" s="34">
        <f>E47-E25</f>
        <v>0</v>
      </c>
      <c r="F49" s="35">
        <f>F47-F25</f>
        <v>0</v>
      </c>
      <c r="G49" s="23"/>
    </row>
    <row r="51" ht="12">
      <c r="B51" s="57" t="s">
        <v>126</v>
      </c>
    </row>
  </sheetData>
  <sheetProtection password="C69D" sheet="1" objects="1" scenarios="1" selectLockedCells="1"/>
  <protectedRanges>
    <protectedRange password="C69D" sqref="E10:F14" name="Bereik1"/>
  </protectedRanges>
  <printOptions/>
  <pageMargins left="0.75" right="0.75" top="1" bottom="1" header="0.5" footer="0.5"/>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B3:O88"/>
  <sheetViews>
    <sheetView zoomScaleSheetLayoutView="100" zoomScalePageLayoutView="0" workbookViewId="0" topLeftCell="A4">
      <selection activeCell="E17" sqref="E17"/>
    </sheetView>
  </sheetViews>
  <sheetFormatPr defaultColWidth="14.7109375" defaultRowHeight="12.75"/>
  <cols>
    <col min="1" max="1" width="9.140625" style="37" customWidth="1"/>
    <col min="2" max="2" width="57.421875" style="37" customWidth="1"/>
    <col min="3" max="3" width="5.57421875" style="36" customWidth="1"/>
    <col min="4" max="4" width="4.28125" style="37" customWidth="1"/>
    <col min="5" max="6" width="14.421875" style="37" customWidth="1"/>
    <col min="7" max="9" width="10.7109375" style="37" customWidth="1"/>
    <col min="10" max="10" width="3.140625" style="37" customWidth="1"/>
    <col min="11" max="16384" width="14.7109375" style="37" customWidth="1"/>
  </cols>
  <sheetData>
    <row r="3" ht="21.75">
      <c r="B3" s="1" t="s">
        <v>124</v>
      </c>
    </row>
    <row r="4" spans="2:7" ht="12.75" thickBot="1">
      <c r="B4" s="38"/>
      <c r="C4" s="38"/>
      <c r="D4" s="38"/>
      <c r="E4" s="38"/>
      <c r="F4" s="38"/>
      <c r="G4" s="39"/>
    </row>
    <row r="5" spans="2:9" ht="12">
      <c r="B5" s="3" t="s">
        <v>15</v>
      </c>
      <c r="C5" s="40"/>
      <c r="D5" s="4"/>
      <c r="E5" s="41"/>
      <c r="F5" s="42"/>
      <c r="G5" s="38"/>
      <c r="H5" s="38"/>
      <c r="I5" s="38"/>
    </row>
    <row r="6" spans="2:6" ht="12">
      <c r="B6" s="7"/>
      <c r="C6" s="13"/>
      <c r="D6" s="8"/>
      <c r="E6" s="43"/>
      <c r="F6" s="44"/>
    </row>
    <row r="7" spans="2:6" ht="12.75" thickBot="1">
      <c r="B7" s="11"/>
      <c r="C7" s="8"/>
      <c r="D7" s="8"/>
      <c r="E7" s="14" t="s">
        <v>96</v>
      </c>
      <c r="F7" s="45" t="s">
        <v>97</v>
      </c>
    </row>
    <row r="8" spans="2:6" ht="12">
      <c r="B8" s="18" t="s">
        <v>33</v>
      </c>
      <c r="C8" s="19"/>
      <c r="D8" s="20"/>
      <c r="E8" s="95">
        <v>3432000</v>
      </c>
      <c r="F8" s="96">
        <v>3432000</v>
      </c>
    </row>
    <row r="9" spans="2:6" ht="12">
      <c r="B9" s="18" t="s">
        <v>34</v>
      </c>
      <c r="C9" s="19"/>
      <c r="D9" s="20"/>
      <c r="E9" s="97">
        <v>2850000</v>
      </c>
      <c r="F9" s="98">
        <f>0.96*E9</f>
        <v>2736000</v>
      </c>
    </row>
    <row r="10" spans="2:6" ht="12">
      <c r="B10" s="11" t="s">
        <v>35</v>
      </c>
      <c r="C10" s="13"/>
      <c r="D10" s="8"/>
      <c r="E10" s="16">
        <f>E8-E9</f>
        <v>582000</v>
      </c>
      <c r="F10" s="17">
        <f>F8-F9</f>
        <v>696000</v>
      </c>
    </row>
    <row r="11" spans="2:6" ht="12">
      <c r="B11" s="18" t="s">
        <v>30</v>
      </c>
      <c r="C11" s="19"/>
      <c r="D11" s="20"/>
      <c r="E11" s="95">
        <f>-Balans!E22</f>
        <v>200000</v>
      </c>
      <c r="F11" s="96">
        <f>-Balans!F22</f>
        <v>200000</v>
      </c>
    </row>
    <row r="12" spans="2:6" ht="12">
      <c r="B12" s="11" t="s">
        <v>36</v>
      </c>
      <c r="C12" s="13"/>
      <c r="D12" s="8"/>
      <c r="E12" s="48">
        <f>E10-E11</f>
        <v>382000</v>
      </c>
      <c r="F12" s="49">
        <f>F10-F11</f>
        <v>496000</v>
      </c>
    </row>
    <row r="13" spans="2:6" s="50" customFormat="1" ht="12">
      <c r="B13" s="18" t="s">
        <v>37</v>
      </c>
      <c r="C13" s="19"/>
      <c r="D13" s="20"/>
      <c r="E13" s="95">
        <v>294000</v>
      </c>
      <c r="F13" s="96">
        <v>294000</v>
      </c>
    </row>
    <row r="14" spans="2:6" s="50" customFormat="1" ht="12">
      <c r="B14" s="18" t="s">
        <v>38</v>
      </c>
      <c r="C14" s="20"/>
      <c r="D14" s="20"/>
      <c r="E14" s="95">
        <v>62500</v>
      </c>
      <c r="F14" s="96">
        <v>62500</v>
      </c>
    </row>
    <row r="15" spans="2:6" s="50" customFormat="1" ht="12">
      <c r="B15" s="18" t="s">
        <v>39</v>
      </c>
      <c r="C15" s="19"/>
      <c r="D15" s="20"/>
      <c r="E15" s="95">
        <v>11500</v>
      </c>
      <c r="F15" s="96">
        <v>11500</v>
      </c>
    </row>
    <row r="16" spans="2:6" s="50" customFormat="1" ht="12">
      <c r="B16" s="18" t="s">
        <v>45</v>
      </c>
      <c r="C16" s="20"/>
      <c r="D16" s="20"/>
      <c r="E16" s="97">
        <v>0</v>
      </c>
      <c r="F16" s="98">
        <v>0</v>
      </c>
    </row>
    <row r="17" spans="2:6" s="50" customFormat="1" ht="12">
      <c r="B17" s="11" t="s">
        <v>40</v>
      </c>
      <c r="C17" s="8"/>
      <c r="D17" s="8"/>
      <c r="E17" s="16">
        <f>E12-E13-E14-E15+E16</f>
        <v>14000</v>
      </c>
      <c r="F17" s="17">
        <f>F12-F13-F14-F15+F16</f>
        <v>128000</v>
      </c>
    </row>
    <row r="18" spans="2:6" ht="12">
      <c r="B18" s="18" t="s">
        <v>41</v>
      </c>
      <c r="C18" s="13"/>
      <c r="D18" s="8"/>
      <c r="E18" s="95">
        <v>0</v>
      </c>
      <c r="F18" s="96">
        <v>0</v>
      </c>
    </row>
    <row r="19" spans="2:6" ht="12">
      <c r="B19" s="18" t="s">
        <v>46</v>
      </c>
      <c r="C19" s="13"/>
      <c r="D19" s="8"/>
      <c r="E19" s="97">
        <v>0</v>
      </c>
      <c r="F19" s="98">
        <v>0</v>
      </c>
    </row>
    <row r="20" spans="2:6" ht="12">
      <c r="B20" s="11" t="s">
        <v>60</v>
      </c>
      <c r="C20" s="13"/>
      <c r="D20" s="8"/>
      <c r="E20" s="16">
        <f>E18-E19</f>
        <v>0</v>
      </c>
      <c r="F20" s="17">
        <f>F18-F19</f>
        <v>0</v>
      </c>
    </row>
    <row r="21" spans="2:6" s="50" customFormat="1" ht="12">
      <c r="B21" s="18" t="s">
        <v>47</v>
      </c>
      <c r="C21" s="8"/>
      <c r="D21" s="8"/>
      <c r="E21" s="95">
        <v>0</v>
      </c>
      <c r="F21" s="96">
        <v>0</v>
      </c>
    </row>
    <row r="22" spans="2:6" s="50" customFormat="1" ht="12">
      <c r="B22" s="18" t="s">
        <v>48</v>
      </c>
      <c r="C22" s="8"/>
      <c r="D22" s="8"/>
      <c r="E22" s="97">
        <v>0</v>
      </c>
      <c r="F22" s="98">
        <v>0</v>
      </c>
    </row>
    <row r="23" spans="2:6" s="50" customFormat="1" ht="12">
      <c r="B23" s="11" t="s">
        <v>49</v>
      </c>
      <c r="C23" s="8"/>
      <c r="D23" s="8"/>
      <c r="E23" s="16">
        <f>E17+E20+E21-E22</f>
        <v>14000</v>
      </c>
      <c r="F23" s="17">
        <f>F17+F20+F21-F22</f>
        <v>128000</v>
      </c>
    </row>
    <row r="24" spans="2:6" s="50" customFormat="1" ht="12">
      <c r="B24" s="11"/>
      <c r="C24" s="8"/>
      <c r="D24" s="8"/>
      <c r="E24" s="16"/>
      <c r="F24" s="17"/>
    </row>
    <row r="25" spans="2:6" s="50" customFormat="1" ht="12">
      <c r="B25" s="18" t="s">
        <v>42</v>
      </c>
      <c r="C25" s="20"/>
      <c r="D25" s="20"/>
      <c r="E25" s="95">
        <v>0</v>
      </c>
      <c r="F25" s="96">
        <v>20048</v>
      </c>
    </row>
    <row r="26" spans="2:6" ht="12">
      <c r="B26" s="18" t="s">
        <v>50</v>
      </c>
      <c r="C26" s="20"/>
      <c r="D26" s="20"/>
      <c r="E26" s="95">
        <v>0</v>
      </c>
      <c r="F26" s="96">
        <v>0</v>
      </c>
    </row>
    <row r="27" spans="2:6" ht="12">
      <c r="B27" s="18"/>
      <c r="C27" s="20"/>
      <c r="D27" s="20"/>
      <c r="E27" s="21"/>
      <c r="F27" s="30"/>
    </row>
    <row r="28" spans="2:6" ht="12.75" thickBot="1">
      <c r="B28" s="11" t="s">
        <v>51</v>
      </c>
      <c r="C28" s="8"/>
      <c r="D28" s="8"/>
      <c r="E28" s="28">
        <f>E23-E25+E26</f>
        <v>14000</v>
      </c>
      <c r="F28" s="51">
        <f>F23-F25+F26</f>
        <v>107952</v>
      </c>
    </row>
    <row r="29" spans="2:6" ht="12.75" thickTop="1">
      <c r="B29" s="18"/>
      <c r="C29" s="20"/>
      <c r="D29" s="20"/>
      <c r="E29" s="21"/>
      <c r="F29" s="30"/>
    </row>
    <row r="30" spans="2:6" ht="12">
      <c r="B30" s="18" t="s">
        <v>43</v>
      </c>
      <c r="C30" s="20"/>
      <c r="D30" s="20"/>
      <c r="E30" s="95">
        <v>0</v>
      </c>
      <c r="F30" s="96">
        <v>0</v>
      </c>
    </row>
    <row r="31" spans="2:15" s="50" customFormat="1" ht="12">
      <c r="B31" s="18" t="s">
        <v>52</v>
      </c>
      <c r="C31" s="20"/>
      <c r="D31" s="20"/>
      <c r="E31" s="97">
        <v>0</v>
      </c>
      <c r="F31" s="98">
        <v>0</v>
      </c>
      <c r="H31" s="37"/>
      <c r="I31" s="37"/>
      <c r="J31" s="37"/>
      <c r="K31" s="37"/>
      <c r="L31" s="37"/>
      <c r="M31" s="37"/>
      <c r="N31" s="37"/>
      <c r="O31" s="37"/>
    </row>
    <row r="32" spans="2:15" s="50" customFormat="1" ht="12">
      <c r="B32" s="11" t="s">
        <v>53</v>
      </c>
      <c r="C32" s="8"/>
      <c r="D32" s="8"/>
      <c r="E32" s="16">
        <f>E30-E31</f>
        <v>0</v>
      </c>
      <c r="F32" s="17">
        <f>F30-F31</f>
        <v>0</v>
      </c>
      <c r="H32" s="37"/>
      <c r="I32" s="37"/>
      <c r="J32" s="37"/>
      <c r="K32" s="37"/>
      <c r="L32" s="37"/>
      <c r="M32" s="37"/>
      <c r="N32" s="37"/>
      <c r="O32" s="37"/>
    </row>
    <row r="33" spans="2:15" s="50" customFormat="1" ht="12">
      <c r="B33" s="18" t="s">
        <v>59</v>
      </c>
      <c r="C33" s="20"/>
      <c r="D33" s="20"/>
      <c r="E33" s="46"/>
      <c r="F33" s="47"/>
      <c r="H33" s="37"/>
      <c r="I33" s="37"/>
      <c r="J33" s="37"/>
      <c r="K33" s="37"/>
      <c r="L33" s="37"/>
      <c r="M33" s="37"/>
      <c r="N33" s="37"/>
      <c r="O33" s="37"/>
    </row>
    <row r="34" spans="2:6" s="50" customFormat="1" ht="12">
      <c r="B34" s="11" t="s">
        <v>54</v>
      </c>
      <c r="C34" s="8"/>
      <c r="D34" s="8"/>
      <c r="E34" s="16">
        <f>E32-E33</f>
        <v>0</v>
      </c>
      <c r="F34" s="17">
        <f>F32-F33</f>
        <v>0</v>
      </c>
    </row>
    <row r="35" spans="2:6" s="50" customFormat="1" ht="12">
      <c r="B35" s="18" t="s">
        <v>58</v>
      </c>
      <c r="C35" s="20"/>
      <c r="D35" s="20"/>
      <c r="E35" s="95">
        <v>0</v>
      </c>
      <c r="F35" s="96">
        <v>0</v>
      </c>
    </row>
    <row r="36" spans="2:6" ht="12">
      <c r="B36" s="18" t="s">
        <v>55</v>
      </c>
      <c r="C36" s="20"/>
      <c r="D36" s="20"/>
      <c r="E36" s="95">
        <v>0</v>
      </c>
      <c r="F36" s="96">
        <v>0</v>
      </c>
    </row>
    <row r="37" spans="2:6" s="50" customFormat="1" ht="12">
      <c r="B37" s="18" t="s">
        <v>44</v>
      </c>
      <c r="C37" s="20"/>
      <c r="D37" s="20"/>
      <c r="E37" s="97">
        <v>0</v>
      </c>
      <c r="F37" s="98">
        <v>0</v>
      </c>
    </row>
    <row r="38" spans="2:6" ht="12">
      <c r="B38" s="11" t="s">
        <v>56</v>
      </c>
      <c r="C38" s="8"/>
      <c r="D38" s="8"/>
      <c r="E38" s="16">
        <f>E34-E35+E36+E37</f>
        <v>0</v>
      </c>
      <c r="F38" s="17">
        <f>F34-F35+F36+F37</f>
        <v>0</v>
      </c>
    </row>
    <row r="39" spans="2:6" s="50" customFormat="1" ht="12">
      <c r="B39" s="18"/>
      <c r="C39" s="20"/>
      <c r="D39" s="20"/>
      <c r="E39" s="21"/>
      <c r="F39" s="30"/>
    </row>
    <row r="40" spans="2:6" s="50" customFormat="1" ht="12.75" thickBot="1">
      <c r="B40" s="52" t="s">
        <v>57</v>
      </c>
      <c r="C40" s="53"/>
      <c r="D40" s="53"/>
      <c r="E40" s="54">
        <f>E38+E28</f>
        <v>14000</v>
      </c>
      <c r="F40" s="55">
        <f>F38+F28</f>
        <v>107952</v>
      </c>
    </row>
    <row r="41" s="50" customFormat="1" ht="12">
      <c r="B41" s="99" t="s">
        <v>126</v>
      </c>
    </row>
    <row r="42" s="50" customFormat="1" ht="12"/>
    <row r="43" s="50" customFormat="1" ht="12"/>
    <row r="44" s="50" customFormat="1" ht="12"/>
    <row r="45" s="50" customFormat="1" ht="12"/>
    <row r="47" s="50" customFormat="1" ht="12"/>
    <row r="48" ht="12">
      <c r="C48" s="37"/>
    </row>
    <row r="49" s="50" customFormat="1" ht="12"/>
    <row r="50" s="50" customFormat="1" ht="12"/>
    <row r="52" ht="12">
      <c r="E52" s="56"/>
    </row>
    <row r="53" ht="12">
      <c r="C53" s="37"/>
    </row>
    <row r="54" ht="12">
      <c r="C54" s="37"/>
    </row>
    <row r="55" ht="12">
      <c r="C55" s="37"/>
    </row>
    <row r="56" ht="12">
      <c r="C56" s="37"/>
    </row>
    <row r="57" ht="12">
      <c r="C57" s="37"/>
    </row>
    <row r="58" ht="12">
      <c r="C58" s="37"/>
    </row>
    <row r="59" ht="12">
      <c r="C59" s="37"/>
    </row>
    <row r="60" ht="12">
      <c r="C60" s="37"/>
    </row>
    <row r="61" ht="12">
      <c r="C61" s="37"/>
    </row>
    <row r="62" ht="12">
      <c r="C62" s="37"/>
    </row>
    <row r="63" ht="12">
      <c r="C63" s="37"/>
    </row>
    <row r="64" ht="12">
      <c r="C64" s="37"/>
    </row>
    <row r="65" ht="12">
      <c r="C65" s="37"/>
    </row>
    <row r="66" ht="12">
      <c r="C66" s="37"/>
    </row>
    <row r="67" ht="12">
      <c r="C67" s="37"/>
    </row>
    <row r="68" ht="12">
      <c r="C68" s="37"/>
    </row>
    <row r="69" ht="12">
      <c r="C69" s="37"/>
    </row>
    <row r="70" ht="12">
      <c r="C70" s="37"/>
    </row>
    <row r="71" ht="12">
      <c r="C71" s="37"/>
    </row>
    <row r="72" ht="12">
      <c r="C72" s="37"/>
    </row>
    <row r="73" s="50" customFormat="1" ht="12"/>
    <row r="74" s="50" customFormat="1" ht="12"/>
    <row r="75" s="50" customFormat="1" ht="12"/>
    <row r="76" ht="12">
      <c r="C76" s="37"/>
    </row>
    <row r="77" s="50" customFormat="1" ht="12"/>
    <row r="78" s="50" customFormat="1" ht="12"/>
    <row r="79" s="50" customFormat="1" ht="12"/>
    <row r="80" ht="12">
      <c r="C80" s="37"/>
    </row>
    <row r="81" s="50" customFormat="1" ht="12"/>
    <row r="82" ht="12">
      <c r="C82" s="37"/>
    </row>
    <row r="83" s="50" customFormat="1" ht="12"/>
    <row r="84" s="50" customFormat="1" ht="12"/>
    <row r="85" s="50" customFormat="1" ht="12"/>
    <row r="86" ht="12">
      <c r="C86" s="37"/>
    </row>
    <row r="87" s="50" customFormat="1" ht="12"/>
    <row r="88" ht="12">
      <c r="C88" s="37"/>
    </row>
  </sheetData>
  <sheetProtection selectLockedCells="1"/>
  <printOptions/>
  <pageMargins left="0.75" right="0.5" top="1" bottom="0.75" header="0.5" footer="0.5"/>
  <pageSetup fitToHeight="1" fitToWidth="1" horizontalDpi="300" verticalDpi="300" orientation="portrait"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3:L47"/>
  <sheetViews>
    <sheetView zoomScaleSheetLayoutView="100" zoomScalePageLayoutView="0" workbookViewId="0" topLeftCell="A7">
      <selection activeCell="G23" sqref="G23"/>
    </sheetView>
  </sheetViews>
  <sheetFormatPr defaultColWidth="9.140625" defaultRowHeight="12.75"/>
  <cols>
    <col min="1" max="11" width="11.140625" style="57" customWidth="1"/>
    <col min="12" max="12" width="12.28125" style="57" customWidth="1"/>
    <col min="13" max="16384" width="9.140625" style="57" customWidth="1"/>
  </cols>
  <sheetData>
    <row r="3" ht="21.75">
      <c r="B3" s="1" t="s">
        <v>122</v>
      </c>
    </row>
    <row r="4" ht="11.25" customHeight="1" thickBot="1"/>
    <row r="5" ht="11.25" customHeight="1">
      <c r="L5" s="58" t="s">
        <v>73</v>
      </c>
    </row>
    <row r="6" ht="11.25" customHeight="1" thickBot="1">
      <c r="L6" s="59" t="s">
        <v>72</v>
      </c>
    </row>
    <row r="7" spans="10:12" ht="11.25" customHeight="1">
      <c r="J7" s="58" t="s">
        <v>69</v>
      </c>
      <c r="L7" s="60">
        <f>'W&amp;V'!E9</f>
        <v>2850000</v>
      </c>
    </row>
    <row r="8" spans="10:12" ht="11.25" customHeight="1" thickBot="1">
      <c r="J8" s="61"/>
      <c r="L8" s="62">
        <f>'W&amp;V'!F9</f>
        <v>2736000</v>
      </c>
    </row>
    <row r="9" spans="10:12" ht="11.25" customHeight="1" thickBot="1">
      <c r="J9" s="60">
        <f>'W&amp;V'!F8</f>
        <v>3432000</v>
      </c>
      <c r="L9" s="94" t="s">
        <v>64</v>
      </c>
    </row>
    <row r="10" spans="8:12" ht="11.25" customHeight="1" thickBot="1">
      <c r="H10" s="58" t="s">
        <v>80</v>
      </c>
      <c r="J10" s="62">
        <f>F22</f>
        <v>3432000</v>
      </c>
      <c r="L10" s="58" t="s">
        <v>70</v>
      </c>
    </row>
    <row r="11" spans="8:12" ht="11.25" customHeight="1">
      <c r="H11" s="59" t="s">
        <v>79</v>
      </c>
      <c r="J11" s="94" t="s">
        <v>78</v>
      </c>
      <c r="L11" s="59" t="s">
        <v>71</v>
      </c>
    </row>
    <row r="12" spans="8:12" ht="11.25" customHeight="1" thickBot="1">
      <c r="H12" s="60">
        <f>J9-J15</f>
        <v>14000</v>
      </c>
      <c r="L12" s="60">
        <f>'W&amp;V'!E13</f>
        <v>294000</v>
      </c>
    </row>
    <row r="13" spans="6:12" ht="11.25" customHeight="1" thickBot="1">
      <c r="F13" s="58" t="s">
        <v>68</v>
      </c>
      <c r="H13" s="62">
        <f>J10-J16</f>
        <v>128000</v>
      </c>
      <c r="J13" s="58" t="s">
        <v>71</v>
      </c>
      <c r="L13" s="62">
        <f>'W&amp;V'!F13</f>
        <v>294000</v>
      </c>
    </row>
    <row r="14" spans="6:12" ht="11.25" customHeight="1" thickBot="1">
      <c r="F14" s="59"/>
      <c r="H14" s="94" t="s">
        <v>64</v>
      </c>
      <c r="J14" s="59" t="s">
        <v>72</v>
      </c>
      <c r="L14" s="94" t="s">
        <v>64</v>
      </c>
    </row>
    <row r="15" spans="6:12" ht="11.25" customHeight="1" thickBot="1">
      <c r="F15" s="60">
        <f>H12+H18</f>
        <v>14000</v>
      </c>
      <c r="J15" s="60">
        <f>L7+L12+L17+L22+L27</f>
        <v>3418000</v>
      </c>
      <c r="L15" s="58" t="s">
        <v>30</v>
      </c>
    </row>
    <row r="16" spans="4:12" ht="11.25" customHeight="1" thickBot="1">
      <c r="D16" s="58" t="s">
        <v>65</v>
      </c>
      <c r="F16" s="62">
        <f>H13+H19</f>
        <v>128000</v>
      </c>
      <c r="H16" s="105" t="s">
        <v>98</v>
      </c>
      <c r="J16" s="62">
        <f>L8+L13+L18+L23+L28</f>
        <v>3304000</v>
      </c>
      <c r="L16" s="61"/>
    </row>
    <row r="17" spans="4:12" ht="11.25" customHeight="1">
      <c r="D17" s="59" t="s">
        <v>66</v>
      </c>
      <c r="F17" s="94" t="s">
        <v>63</v>
      </c>
      <c r="H17" s="104" t="s">
        <v>81</v>
      </c>
      <c r="L17" s="60">
        <f>'W&amp;V'!E11</f>
        <v>200000</v>
      </c>
    </row>
    <row r="18" spans="4:12" ht="11.25" customHeight="1" thickBot="1">
      <c r="D18" s="63">
        <f>F15/F21</f>
        <v>0.004079254079254079</v>
      </c>
      <c r="H18" s="60">
        <f>'W&amp;V'!F20+'W&amp;V'!F21+'W&amp;V'!F22</f>
        <v>0</v>
      </c>
      <c r="L18" s="62">
        <f>'W&amp;V'!F11</f>
        <v>200000</v>
      </c>
    </row>
    <row r="19" spans="4:12" ht="11.25" customHeight="1" thickBot="1">
      <c r="D19" s="64">
        <f>F16/F22</f>
        <v>0.037296037296037296</v>
      </c>
      <c r="F19" s="103" t="s">
        <v>69</v>
      </c>
      <c r="H19" s="62">
        <f>'W&amp;V'!E20+'W&amp;V'!E21+'W&amp;V'!E22</f>
        <v>0</v>
      </c>
      <c r="L19" s="94" t="s">
        <v>64</v>
      </c>
    </row>
    <row r="20" spans="6:12" ht="11.25" customHeight="1">
      <c r="F20" s="104"/>
      <c r="J20" s="65"/>
      <c r="L20" s="58" t="s">
        <v>74</v>
      </c>
    </row>
    <row r="21" spans="6:12" ht="11.25" customHeight="1" thickBot="1">
      <c r="F21" s="60">
        <f>'W&amp;V'!E8</f>
        <v>3432000</v>
      </c>
      <c r="L21" s="59" t="s">
        <v>71</v>
      </c>
    </row>
    <row r="22" spans="2:12" ht="11.25" customHeight="1" thickBot="1">
      <c r="B22" s="66" t="s">
        <v>82</v>
      </c>
      <c r="F22" s="67">
        <f>'W&amp;V'!F8</f>
        <v>3432000</v>
      </c>
      <c r="L22" s="60">
        <f>'W&amp;V'!E15</f>
        <v>11500</v>
      </c>
    </row>
    <row r="23" spans="2:12" ht="11.25" customHeight="1" thickBot="1">
      <c r="B23" s="68" t="s">
        <v>83</v>
      </c>
      <c r="D23" s="94" t="s">
        <v>67</v>
      </c>
      <c r="L23" s="62">
        <f>'W&amp;V'!F15</f>
        <v>11500</v>
      </c>
    </row>
    <row r="24" spans="2:12" ht="11.25" customHeight="1" thickBot="1">
      <c r="B24" s="63">
        <f>D18*D30</f>
        <v>0.00470898157510052</v>
      </c>
      <c r="F24" s="103" t="s">
        <v>69</v>
      </c>
      <c r="J24" s="69" t="s">
        <v>91</v>
      </c>
      <c r="L24" s="94" t="s">
        <v>64</v>
      </c>
    </row>
    <row r="25" spans="2:12" ht="11.25" customHeight="1" thickBot="1">
      <c r="B25" s="64">
        <f>D19*D30</f>
        <v>0.04305354582949047</v>
      </c>
      <c r="F25" s="104"/>
      <c r="J25" s="70"/>
      <c r="L25" s="58" t="s">
        <v>77</v>
      </c>
    </row>
    <row r="26" spans="6:12" ht="11.25" customHeight="1" thickBot="1">
      <c r="F26" s="60">
        <f>J9</f>
        <v>3432000</v>
      </c>
      <c r="J26" s="60">
        <f>Balans!E13</f>
        <v>684000</v>
      </c>
      <c r="L26" s="59" t="s">
        <v>76</v>
      </c>
    </row>
    <row r="27" spans="4:12" ht="11.25" customHeight="1" thickBot="1">
      <c r="D27" s="69" t="s">
        <v>85</v>
      </c>
      <c r="F27" s="62">
        <f>F22</f>
        <v>3432000</v>
      </c>
      <c r="H27" s="69" t="s">
        <v>89</v>
      </c>
      <c r="J27" s="62">
        <f>Balans!F13</f>
        <v>656640</v>
      </c>
      <c r="L27" s="60">
        <f>'W&amp;V'!E14-'W&amp;V'!E16</f>
        <v>62500</v>
      </c>
    </row>
    <row r="28" spans="4:12" ht="11.25" customHeight="1" thickBot="1">
      <c r="D28" s="70" t="s">
        <v>84</v>
      </c>
      <c r="F28" s="94" t="s">
        <v>63</v>
      </c>
      <c r="H28" s="70" t="s">
        <v>88</v>
      </c>
      <c r="J28" s="94" t="s">
        <v>64</v>
      </c>
      <c r="L28" s="62">
        <f>'W&amp;V'!F14-'W&amp;V'!F16</f>
        <v>62500</v>
      </c>
    </row>
    <row r="29" spans="4:8" ht="11.25" customHeight="1" thickBot="1">
      <c r="D29" s="71">
        <f>F26/F32</f>
        <v>1.1535041048209884</v>
      </c>
      <c r="H29" s="60">
        <f>Balans!E23</f>
        <v>1600000</v>
      </c>
    </row>
    <row r="30" spans="4:10" ht="11.25" customHeight="1" thickBot="1">
      <c r="D30" s="72">
        <f>F27/F33</f>
        <v>1.1543731975532132</v>
      </c>
      <c r="F30" s="69" t="s">
        <v>86</v>
      </c>
      <c r="H30" s="62">
        <f>Balans!F23</f>
        <v>1600000</v>
      </c>
      <c r="J30" s="69" t="s">
        <v>92</v>
      </c>
    </row>
    <row r="31" spans="6:10" ht="11.25" customHeight="1">
      <c r="F31" s="70" t="s">
        <v>87</v>
      </c>
      <c r="H31" s="94" t="s">
        <v>64</v>
      </c>
      <c r="J31" s="70"/>
    </row>
    <row r="32" spans="6:10" ht="11.25" customHeight="1" thickBot="1">
      <c r="F32" s="60">
        <f>Balans!E25</f>
        <v>2975282</v>
      </c>
      <c r="J32" s="60">
        <f>Balans!E12</f>
        <v>684000</v>
      </c>
    </row>
    <row r="33" spans="6:10" ht="11.25" customHeight="1" thickBot="1">
      <c r="F33" s="62">
        <f>H30+H36</f>
        <v>2973042</v>
      </c>
      <c r="H33" s="69" t="s">
        <v>90</v>
      </c>
      <c r="J33" s="62">
        <f>Balans!F12</f>
        <v>684000</v>
      </c>
    </row>
    <row r="34" spans="8:10" ht="11.25" customHeight="1">
      <c r="H34" s="70" t="s">
        <v>88</v>
      </c>
      <c r="J34" s="94" t="s">
        <v>64</v>
      </c>
    </row>
    <row r="35" ht="11.25" customHeight="1" thickBot="1">
      <c r="H35" s="60">
        <f>Balans!E15</f>
        <v>1375282</v>
      </c>
    </row>
    <row r="36" spans="8:10" ht="11.25" customHeight="1" thickBot="1">
      <c r="H36" s="62">
        <f>J27+J33+J39+J45</f>
        <v>1373042</v>
      </c>
      <c r="J36" s="69" t="s">
        <v>93</v>
      </c>
    </row>
    <row r="37" ht="11.25" customHeight="1">
      <c r="J37" s="70"/>
    </row>
    <row r="38" ht="11.25" customHeight="1">
      <c r="J38" s="60">
        <f>Balans!E10</f>
        <v>7282</v>
      </c>
    </row>
    <row r="39" ht="11.25" customHeight="1" thickBot="1">
      <c r="J39" s="62">
        <f>Balans!F10</f>
        <v>32402</v>
      </c>
    </row>
    <row r="40" ht="11.25" customHeight="1">
      <c r="J40" s="94" t="s">
        <v>64</v>
      </c>
    </row>
    <row r="41" ht="11.25" customHeight="1" thickBot="1"/>
    <row r="42" ht="11.25" customHeight="1">
      <c r="J42" s="69" t="s">
        <v>75</v>
      </c>
    </row>
    <row r="43" ht="11.25" customHeight="1">
      <c r="J43" s="70" t="s">
        <v>94</v>
      </c>
    </row>
    <row r="44" ht="11.25" customHeight="1">
      <c r="J44" s="60">
        <f>Balans!E11+Balans!E14</f>
        <v>0</v>
      </c>
    </row>
    <row r="45" ht="11.25" customHeight="1" thickBot="1">
      <c r="J45" s="62">
        <f>Balans!F14+Balans!F11</f>
        <v>0</v>
      </c>
    </row>
    <row r="46" ht="11.25" customHeight="1"/>
    <row r="47" ht="11.25" customHeight="1">
      <c r="B47" s="57" t="s">
        <v>126</v>
      </c>
    </row>
    <row r="48" ht="11.25" customHeight="1"/>
    <row r="49" ht="11.25" customHeight="1"/>
  </sheetData>
  <sheetProtection selectLockedCells="1"/>
  <printOptions/>
  <pageMargins left="0.75" right="0.75" top="1" bottom="1" header="0.5" footer="0.5"/>
  <pageSetup fitToHeight="1" fitToWidth="1"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3:G28"/>
  <sheetViews>
    <sheetView zoomScalePageLayoutView="0" workbookViewId="0" topLeftCell="A1">
      <selection activeCell="D32" sqref="D32"/>
    </sheetView>
  </sheetViews>
  <sheetFormatPr defaultColWidth="9.140625" defaultRowHeight="12.75"/>
  <cols>
    <col min="1" max="1" width="18.00390625" style="2" customWidth="1"/>
    <col min="2" max="2" width="28.8515625" style="2" customWidth="1"/>
    <col min="3" max="3" width="28.140625" style="2" customWidth="1"/>
    <col min="4" max="6" width="13.421875" style="2" customWidth="1"/>
    <col min="7" max="16384" width="9.140625" style="2" customWidth="1"/>
  </cols>
  <sheetData>
    <row r="1" ht="12.75"/>
    <row r="2" ht="12.75"/>
    <row r="3" ht="22.5">
      <c r="B3" s="1" t="s">
        <v>125</v>
      </c>
    </row>
    <row r="4" ht="13.5" thickBot="1"/>
    <row r="5" spans="2:6" ht="12.75">
      <c r="B5" s="73" t="s">
        <v>118</v>
      </c>
      <c r="C5" s="74"/>
      <c r="D5" s="80" t="s">
        <v>117</v>
      </c>
      <c r="E5" s="85" t="s">
        <v>121</v>
      </c>
      <c r="F5" s="80" t="s">
        <v>110</v>
      </c>
    </row>
    <row r="6" spans="2:6" ht="13.5" thickBot="1">
      <c r="B6" s="76"/>
      <c r="C6" s="77"/>
      <c r="D6" s="81" t="s">
        <v>120</v>
      </c>
      <c r="E6" s="86" t="s">
        <v>120</v>
      </c>
      <c r="F6" s="81" t="s">
        <v>119</v>
      </c>
    </row>
    <row r="7" spans="2:7" ht="12.75">
      <c r="B7" s="18" t="s">
        <v>95</v>
      </c>
      <c r="C7" s="18" t="s">
        <v>100</v>
      </c>
      <c r="D7" s="106">
        <f>'W&amp;V'!E10/'W&amp;V'!E8</f>
        <v>0.16958041958041958</v>
      </c>
      <c r="E7" s="106">
        <f>'W&amp;V'!F10/'W&amp;V'!F8</f>
        <v>0.20279720279720279</v>
      </c>
      <c r="F7" s="107">
        <f>E7/D7-1</f>
        <v>0.19587628865979378</v>
      </c>
      <c r="G7" s="75"/>
    </row>
    <row r="8" spans="2:6" ht="12.75">
      <c r="B8" s="18"/>
      <c r="C8" s="18" t="s">
        <v>99</v>
      </c>
      <c r="D8" s="106">
        <f>'W&amp;V'!E17/'W&amp;V'!E8</f>
        <v>0.004079254079254079</v>
      </c>
      <c r="E8" s="106">
        <f>'W&amp;V'!F17/'W&amp;V'!F8</f>
        <v>0.037296037296037296</v>
      </c>
      <c r="F8" s="107">
        <f>E8/D8-1</f>
        <v>8.142857142857144</v>
      </c>
    </row>
    <row r="9" spans="2:6" ht="12.75">
      <c r="B9" s="18"/>
      <c r="C9" s="18" t="s">
        <v>101</v>
      </c>
      <c r="D9" s="106">
        <f>('W&amp;V'!E40/'W&amp;V'!E8)</f>
        <v>0.004079254079254079</v>
      </c>
      <c r="E9" s="106">
        <f>'W&amp;V'!F40/'W&amp;V'!F8</f>
        <v>0.03145454545454546</v>
      </c>
      <c r="F9" s="107">
        <f>E9/D9-1</f>
        <v>6.710857142857144</v>
      </c>
    </row>
    <row r="10" spans="2:6" ht="12.75">
      <c r="B10" s="18"/>
      <c r="C10" s="18"/>
      <c r="D10" s="108"/>
      <c r="E10" s="108"/>
      <c r="F10" s="107"/>
    </row>
    <row r="11" spans="2:6" ht="12.75">
      <c r="B11" s="87" t="s">
        <v>102</v>
      </c>
      <c r="C11" s="87" t="s">
        <v>103</v>
      </c>
      <c r="D11" s="109">
        <f>D18*'ratio''s'!D8</f>
        <v>0.004705436325027342</v>
      </c>
      <c r="E11" s="109">
        <f>E18*E8</f>
        <v>0.04305354582949047</v>
      </c>
      <c r="F11" s="110">
        <f aca="true" t="shared" si="0" ref="F8:F22">E11/D11-1</f>
        <v>8.14974571018986</v>
      </c>
    </row>
    <row r="12" spans="2:6" ht="12.75">
      <c r="B12" s="18"/>
      <c r="C12" s="18" t="s">
        <v>23</v>
      </c>
      <c r="D12" s="106">
        <f>D8*D19</f>
        <v>0.01206603222320091</v>
      </c>
      <c r="E12" s="106">
        <f>E8*E19</f>
        <v>0.10818467800690015</v>
      </c>
      <c r="F12" s="107">
        <f t="shared" si="0"/>
        <v>7.9660524690858665</v>
      </c>
    </row>
    <row r="13" spans="2:6" ht="12.75">
      <c r="B13" s="89"/>
      <c r="C13" s="89"/>
      <c r="D13" s="111"/>
      <c r="E13" s="111"/>
      <c r="F13" s="112"/>
    </row>
    <row r="14" spans="2:6" ht="12.75">
      <c r="B14" s="87" t="s">
        <v>114</v>
      </c>
      <c r="C14" s="87" t="s">
        <v>106</v>
      </c>
      <c r="D14" s="92">
        <f>Balans!E12/'W&amp;V'!E8*365</f>
        <v>72.74475524475524</v>
      </c>
      <c r="E14" s="92">
        <f>Balans!F12/'W&amp;V'!F8*365</f>
        <v>72.74475524475524</v>
      </c>
      <c r="F14" s="88">
        <f t="shared" si="0"/>
        <v>0</v>
      </c>
    </row>
    <row r="15" spans="2:6" ht="12.75">
      <c r="B15" s="18"/>
      <c r="C15" s="18" t="s">
        <v>104</v>
      </c>
      <c r="D15" s="79">
        <f>Balans!E13/'W&amp;V'!E9*365</f>
        <v>87.6</v>
      </c>
      <c r="E15" s="79">
        <f>Balans!F13/'W&amp;V'!F9*365</f>
        <v>87.6</v>
      </c>
      <c r="F15" s="82">
        <f t="shared" si="0"/>
        <v>0</v>
      </c>
    </row>
    <row r="16" spans="2:6" ht="12.75">
      <c r="B16" s="18"/>
      <c r="C16" s="18" t="s">
        <v>105</v>
      </c>
      <c r="D16" s="79">
        <f>Balans!E39/'W&amp;V'!E9*365</f>
        <v>80.4280701754386</v>
      </c>
      <c r="E16" s="79">
        <f>Balans!F39/'W&amp;V'!F9*365</f>
        <v>80.4280701754386</v>
      </c>
      <c r="F16" s="82">
        <f t="shared" si="0"/>
        <v>0</v>
      </c>
    </row>
    <row r="17" spans="2:6" ht="12.75">
      <c r="B17" s="89"/>
      <c r="C17" s="89"/>
      <c r="D17" s="90"/>
      <c r="E17" s="90"/>
      <c r="F17" s="91"/>
    </row>
    <row r="18" spans="2:6" ht="12.75">
      <c r="B18" s="87" t="s">
        <v>115</v>
      </c>
      <c r="C18" s="87" t="s">
        <v>103</v>
      </c>
      <c r="D18" s="93">
        <f>'W&amp;V'!E8/Balans!E47</f>
        <v>1.1535041048209884</v>
      </c>
      <c r="E18" s="93">
        <f>'W&amp;V'!F8/Balans!F47</f>
        <v>1.1543731975532132</v>
      </c>
      <c r="F18" s="88">
        <f t="shared" si="0"/>
        <v>0.0007534370520161371</v>
      </c>
    </row>
    <row r="19" spans="2:6" ht="12.75">
      <c r="B19" s="18"/>
      <c r="C19" s="18" t="s">
        <v>23</v>
      </c>
      <c r="D19" s="78">
        <f>'W&amp;V'!E8/Balans!E37</f>
        <v>2.957901613573252</v>
      </c>
      <c r="E19" s="78">
        <f>'W&amp;V'!F8/Balans!F37</f>
        <v>2.90070167906001</v>
      </c>
      <c r="F19" s="82">
        <f t="shared" si="0"/>
        <v>-0.019338011193733462</v>
      </c>
    </row>
    <row r="20" spans="2:6" ht="12.75">
      <c r="B20" s="89"/>
      <c r="C20" s="89"/>
      <c r="D20" s="90"/>
      <c r="E20" s="90"/>
      <c r="F20" s="91"/>
    </row>
    <row r="21" spans="2:6" ht="12.75">
      <c r="B21" s="87" t="s">
        <v>116</v>
      </c>
      <c r="C21" s="87" t="s">
        <v>111</v>
      </c>
      <c r="D21" s="93">
        <f>(Balans!E15-Balans!E13)/(Balans!E39+Balans!E43)</f>
        <v>1.1007675159235668</v>
      </c>
      <c r="E21" s="93">
        <f>(Balans!F15-Balans!F13)/(Balans!F39+Balans!F43)</f>
        <v>1.1882994957537154</v>
      </c>
      <c r="F21" s="88">
        <f t="shared" si="0"/>
        <v>0.07951904336194682</v>
      </c>
    </row>
    <row r="22" spans="2:6" ht="12.75">
      <c r="B22" s="18"/>
      <c r="C22" s="18" t="s">
        <v>107</v>
      </c>
      <c r="D22" s="78">
        <f>Balans!E15/(Balans!E39+Balans!E43)</f>
        <v>2.18993949044586</v>
      </c>
      <c r="E22" s="78">
        <f>Balans!F15/(Balans!F39+Balans!F43)</f>
        <v>2.2774714702760086</v>
      </c>
      <c r="F22" s="82">
        <f t="shared" si="0"/>
        <v>0.03997004493139111</v>
      </c>
    </row>
    <row r="23" spans="2:6" ht="12.75">
      <c r="B23" s="89"/>
      <c r="C23" s="89"/>
      <c r="D23" s="90"/>
      <c r="E23" s="90"/>
      <c r="F23" s="91"/>
    </row>
    <row r="24" spans="2:6" ht="12.75">
      <c r="B24" s="18" t="s">
        <v>109</v>
      </c>
      <c r="C24" s="18" t="s">
        <v>113</v>
      </c>
      <c r="D24" s="78">
        <f>Balans!E44/Balans!E47</f>
        <v>0.6100262092803304</v>
      </c>
      <c r="E24" s="78">
        <f>Balans!F44/Balans!F47</f>
        <v>0.6020365672600656</v>
      </c>
      <c r="F24" s="82">
        <f>E24/D24-1</f>
        <v>-0.013097211068505477</v>
      </c>
    </row>
    <row r="25" spans="2:6" ht="12.75">
      <c r="B25" s="18"/>
      <c r="C25" s="18" t="s">
        <v>108</v>
      </c>
      <c r="D25" s="78">
        <f>Balans!E37/Balans!E47</f>
        <v>0.3899737907196696</v>
      </c>
      <c r="E25" s="78">
        <f>Balans!F37/Balans!F47</f>
        <v>0.3979634327399344</v>
      </c>
      <c r="F25" s="82">
        <f>E25/D25-1</f>
        <v>0.020487638426983645</v>
      </c>
    </row>
    <row r="26" spans="2:6" ht="12.75">
      <c r="B26" s="18"/>
      <c r="C26" s="18" t="s">
        <v>112</v>
      </c>
      <c r="D26" s="78">
        <f>Balans!E25/Balans!E44</f>
        <v>1.639273829201102</v>
      </c>
      <c r="E26" s="78">
        <f>Balans!F25/Balans!F44</f>
        <v>1.6610286723132277</v>
      </c>
      <c r="F26" s="82">
        <f>E26/D26-1</f>
        <v>0.013271024477178317</v>
      </c>
    </row>
    <row r="27" spans="2:6" ht="13.5" thickBot="1">
      <c r="B27" s="31"/>
      <c r="C27" s="31"/>
      <c r="D27" s="84"/>
      <c r="E27" s="84"/>
      <c r="F27" s="83"/>
    </row>
    <row r="28" ht="12.75">
      <c r="B28" s="57" t="s">
        <v>126</v>
      </c>
    </row>
    <row r="29" ht="12.75"/>
    <row r="30" ht="12.75"/>
    <row r="31" ht="12.75"/>
    <row r="32" ht="12.75"/>
    <row r="33" ht="12.75"/>
    <row r="34" ht="12.75"/>
    <row r="36" ht="12.75"/>
  </sheetData>
  <sheetProtection password="C69D" sheet="1" objects="1" scenarios="1" selectLockedCells="1"/>
  <printOptions/>
  <pageMargins left="0.75" right="0.75" top="1" bottom="1" header="0.5" footer="0.5"/>
  <pageSetup fitToHeight="1" fitToWidth="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Ratio Analysis. Mini Case Model</dc:title>
  <dc:subject>Mini Case Sheets</dc:subject>
  <dc:creator>Christopher Buzzard, Bart Kreps, Mike Ehrhardt</dc:creator>
  <cp:keywords/>
  <dc:description/>
  <cp:lastModifiedBy>Mutatis</cp:lastModifiedBy>
  <cp:lastPrinted>2009-09-29T15:45:19Z</cp:lastPrinted>
  <dcterms:created xsi:type="dcterms:W3CDTF">1999-05-21T04:40:53Z</dcterms:created>
  <dcterms:modified xsi:type="dcterms:W3CDTF">2011-01-16T13:29:42Z</dcterms:modified>
  <cp:category/>
  <cp:version/>
  <cp:contentType/>
  <cp:contentStatus/>
</cp:coreProperties>
</file>